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updateLinks="never"/>
  <mc:AlternateContent xmlns:mc="http://schemas.openxmlformats.org/markup-compatibility/2006">
    <mc:Choice Requires="x15">
      <x15ac:absPath xmlns:x15ac="http://schemas.microsoft.com/office/spreadsheetml/2010/11/ac" url="https://unibsit.sharepoint.com/sites/BETTED/Documenti condivisi/General/WP/WP3/Task 3.3/BETTED-Tool/"/>
    </mc:Choice>
  </mc:AlternateContent>
  <xr:revisionPtr revIDLastSave="15" documentId="11_F55DF89A77DB73EEA34D6F663F78617A1248366C" xr6:coauthVersionLast="47" xr6:coauthVersionMax="47" xr10:uidLastSave="{C4772601-2CC2-9A4E-A6B8-BA91D4F75E91}"/>
  <workbookProtection workbookAlgorithmName="SHA-512" workbookHashValue="MxpL/ZPlnYQ2g+uriKDJvBeyXhnzNAe4AGfIrRCzqTLPqEcMo5Y25csrsCSFw99OMpi71SgkyWpxHmHLonGy4Q==" workbookSaltValue="8yR1T3Ib7VDKzIeG3mCkHQ==" workbookSpinCount="100000" lockStructure="1"/>
  <bookViews>
    <workbookView xWindow="0" yWindow="760" windowWidth="23280" windowHeight="14120" xr2:uid="{00000000-000D-0000-FFFF-FFFF00000000}"/>
  </bookViews>
  <sheets>
    <sheet name="Info" sheetId="14" r:id="rId1"/>
    <sheet name="Identification" sheetId="23" r:id="rId2"/>
    <sheet name="Analysis" sheetId="24" r:id="rId3"/>
    <sheet name="Hidden_Lists" sheetId="20" state="hidden" r:id="rId4"/>
    <sheet name="Hidden_Translations" sheetId="16" state="hidden" r:id="rId5"/>
    <sheet name="Hidden_Versions" sheetId="19" state="hidden" r:id="rId6"/>
  </sheets>
  <definedNames>
    <definedName name="_xlnm.Print_Area" localSheetId="2">Analysis!$A$1:$G$50</definedName>
    <definedName name="_xlnm.Print_Area" localSheetId="1">Identification!$A$1:$K$100</definedName>
    <definedName name="_xlnm.Print_Area" localSheetId="0">Info!$A$1:$J$26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24" l="1"/>
  <c r="C36" i="23"/>
  <c r="A36" i="23" l="1"/>
  <c r="B96" i="23" l="1"/>
  <c r="B95" i="23"/>
  <c r="B94" i="23"/>
  <c r="A94" i="23"/>
  <c r="C93" i="23"/>
  <c r="C94" i="23" s="1"/>
  <c r="B93" i="23"/>
  <c r="A93" i="23"/>
  <c r="B92" i="23"/>
  <c r="B91" i="23"/>
  <c r="B90" i="23"/>
  <c r="B89" i="23"/>
  <c r="C86" i="23"/>
  <c r="C89" i="23" s="1"/>
  <c r="B85" i="23"/>
  <c r="B86" i="23" s="1"/>
  <c r="B84" i="23"/>
  <c r="B83" i="23"/>
  <c r="B82" i="23"/>
  <c r="C81" i="23"/>
  <c r="B81" i="23"/>
  <c r="A81" i="23"/>
  <c r="C68" i="23"/>
  <c r="B68" i="23"/>
  <c r="B71" i="23" s="1"/>
  <c r="A68" i="23"/>
  <c r="C67" i="23"/>
  <c r="B67" i="23"/>
  <c r="A67" i="23"/>
  <c r="A61" i="23"/>
  <c r="A58" i="23"/>
  <c r="C46" i="23"/>
  <c r="B36" i="23"/>
  <c r="A95" i="23" l="1"/>
  <c r="A96" i="23" s="1"/>
  <c r="C95" i="23"/>
  <c r="C96" i="23" s="1"/>
  <c r="C97" i="23" s="1"/>
  <c r="C90" i="23"/>
  <c r="C91" i="23" s="1"/>
  <c r="C92" i="23" s="1"/>
  <c r="A82" i="23"/>
  <c r="C82" i="23"/>
  <c r="C83" i="23" s="1"/>
  <c r="A71" i="23"/>
  <c r="A72" i="23" s="1"/>
  <c r="C71" i="23"/>
  <c r="A62" i="23"/>
  <c r="A63" i="23" s="1"/>
  <c r="C47" i="23"/>
  <c r="C48" i="23" s="1"/>
  <c r="A98" i="23"/>
  <c r="B97" i="23"/>
  <c r="B98" i="23"/>
  <c r="B99" i="23" s="1"/>
  <c r="B100" i="23" s="1"/>
  <c r="C98" i="23"/>
  <c r="C99" i="23" s="1"/>
  <c r="A99" i="23"/>
  <c r="A100" i="23" s="1"/>
  <c r="C62" i="23"/>
  <c r="C37" i="23"/>
  <c r="B37" i="23"/>
  <c r="A37" i="23"/>
  <c r="A83" i="23" l="1"/>
  <c r="C84" i="23"/>
  <c r="A73" i="23"/>
  <c r="A66" i="23"/>
  <c r="C51" i="23"/>
  <c r="C52" i="23" s="1"/>
  <c r="A38" i="23"/>
  <c r="C38" i="23"/>
  <c r="B38" i="23"/>
  <c r="B39" i="23"/>
  <c r="A84" i="23" l="1"/>
  <c r="A85" i="23"/>
  <c r="A86" i="23" s="1"/>
  <c r="A39" i="23"/>
  <c r="B40" i="23"/>
  <c r="C39" i="23"/>
  <c r="A40" i="23" l="1"/>
  <c r="A97" i="23"/>
  <c r="A89" i="23"/>
  <c r="C40" i="23"/>
  <c r="C41" i="23" s="1"/>
  <c r="B41" i="23"/>
  <c r="A42" i="23"/>
  <c r="A41" i="23" l="1"/>
  <c r="A90" i="23"/>
  <c r="A91" i="23"/>
  <c r="A92" i="23" s="1"/>
  <c r="C42" i="23"/>
  <c r="A43" i="23"/>
  <c r="A44" i="23"/>
  <c r="A46" i="23" s="1"/>
  <c r="A47" i="23" s="1"/>
  <c r="B42" i="23"/>
  <c r="C43" i="23"/>
  <c r="C53" i="23" s="1"/>
  <c r="C54" i="23" l="1"/>
  <c r="A45" i="23"/>
  <c r="C44" i="23"/>
  <c r="A48" i="23"/>
  <c r="C55" i="23"/>
  <c r="C56" i="23" s="1"/>
  <c r="B43" i="23"/>
  <c r="B46" i="23"/>
  <c r="C45" i="23" l="1"/>
  <c r="B44" i="23"/>
  <c r="C57" i="23"/>
  <c r="C58" i="23" s="1"/>
  <c r="C61" i="23" s="1"/>
  <c r="B47" i="23"/>
  <c r="B48" i="23"/>
  <c r="A51" i="23"/>
  <c r="A52" i="23" s="1"/>
  <c r="A53" i="23" s="1"/>
  <c r="B45" i="23"/>
  <c r="A74" i="23"/>
  <c r="C63" i="23"/>
  <c r="C66" i="23" l="1"/>
  <c r="A75" i="23"/>
  <c r="A54" i="23"/>
  <c r="A55" i="23"/>
  <c r="B51" i="23"/>
  <c r="B52" i="23" s="1"/>
  <c r="B72" i="23"/>
  <c r="C72" i="23"/>
  <c r="C8" i="16"/>
  <c r="B36" i="24" l="1"/>
  <c r="B6" i="14"/>
  <c r="C23" i="14"/>
  <c r="B25" i="14"/>
  <c r="C25" i="14"/>
  <c r="C26" i="14"/>
  <c r="C10" i="14"/>
  <c r="B23" i="14"/>
  <c r="F99" i="23"/>
  <c r="B8" i="14"/>
  <c r="A76" i="23"/>
  <c r="B74" i="23"/>
  <c r="B73" i="23"/>
  <c r="A56" i="23"/>
  <c r="C73" i="23"/>
  <c r="B53" i="23"/>
  <c r="B54" i="23" s="1"/>
  <c r="C26" i="20"/>
  <c r="F29" i="24"/>
  <c r="F36" i="24" s="1"/>
  <c r="D27" i="24"/>
  <c r="B26" i="24"/>
  <c r="B19" i="24"/>
  <c r="B10" i="24"/>
  <c r="B43" i="24"/>
  <c r="E29" i="24"/>
  <c r="E36" i="24" s="1"/>
  <c r="D26" i="24"/>
  <c r="B24" i="24"/>
  <c r="G12" i="24"/>
  <c r="C43" i="24" s="1"/>
  <c r="B8" i="24"/>
  <c r="D29" i="24"/>
  <c r="D36" i="24" s="1"/>
  <c r="D24" i="24"/>
  <c r="B22" i="24"/>
  <c r="E12" i="24"/>
  <c r="C36" i="24" s="1"/>
  <c r="B6" i="24"/>
  <c r="G29" i="24"/>
  <c r="G36" i="24" s="1"/>
  <c r="B29" i="24"/>
  <c r="D22" i="24"/>
  <c r="B21" i="24"/>
  <c r="C12" i="24"/>
  <c r="C29" i="24" s="1"/>
  <c r="B4" i="24"/>
  <c r="C38" i="20"/>
  <c r="C33" i="20"/>
  <c r="C28" i="20"/>
  <c r="C37" i="20"/>
  <c r="C32" i="20"/>
  <c r="C27" i="20"/>
  <c r="D100" i="23"/>
  <c r="C36" i="20"/>
  <c r="B31" i="20"/>
  <c r="B35" i="20"/>
  <c r="C29" i="20"/>
  <c r="B25" i="20"/>
  <c r="F58" i="23"/>
  <c r="F92" i="23"/>
  <c r="D96" i="23"/>
  <c r="D92" i="23"/>
  <c r="F85" i="23"/>
  <c r="F81" i="23"/>
  <c r="D83" i="23"/>
  <c r="F77" i="23"/>
  <c r="F73" i="23"/>
  <c r="D77" i="23"/>
  <c r="D73" i="23"/>
  <c r="F67" i="23"/>
  <c r="D66" i="23"/>
  <c r="F95" i="23"/>
  <c r="F91" i="23"/>
  <c r="D99" i="23"/>
  <c r="D95" i="23"/>
  <c r="D91" i="23"/>
  <c r="F84" i="23"/>
  <c r="D86" i="23"/>
  <c r="D82" i="23"/>
  <c r="F76" i="23"/>
  <c r="F72" i="23"/>
  <c r="D76" i="23"/>
  <c r="D72" i="23"/>
  <c r="F66" i="23"/>
  <c r="F63" i="23"/>
  <c r="F94" i="23"/>
  <c r="F90" i="23"/>
  <c r="D98" i="23"/>
  <c r="D94" i="23"/>
  <c r="D90" i="23"/>
  <c r="F83" i="23"/>
  <c r="D85" i="23"/>
  <c r="D81" i="23"/>
  <c r="F75" i="23"/>
  <c r="F71" i="23"/>
  <c r="D75" i="23"/>
  <c r="D71" i="23"/>
  <c r="D68" i="23"/>
  <c r="F62" i="23"/>
  <c r="F93" i="23"/>
  <c r="F89" i="23"/>
  <c r="D97" i="23"/>
  <c r="D93" i="23"/>
  <c r="D89" i="23"/>
  <c r="F82" i="23"/>
  <c r="D84" i="23"/>
  <c r="F78" i="23"/>
  <c r="F74" i="23"/>
  <c r="D78" i="23"/>
  <c r="D74" i="23"/>
  <c r="F68" i="23"/>
  <c r="D67" i="23"/>
  <c r="F61" i="23"/>
  <c r="D62" i="23"/>
  <c r="F56" i="23"/>
  <c r="F52" i="23"/>
  <c r="D56" i="23"/>
  <c r="D52" i="23"/>
  <c r="D70" i="23"/>
  <c r="D61" i="23"/>
  <c r="F55" i="23"/>
  <c r="F51" i="23"/>
  <c r="D55" i="23"/>
  <c r="D51" i="23"/>
  <c r="F54" i="23"/>
  <c r="D58" i="23"/>
  <c r="D54" i="23"/>
  <c r="D88" i="23"/>
  <c r="D63" i="23"/>
  <c r="F57" i="23"/>
  <c r="F53" i="23"/>
  <c r="D57" i="23"/>
  <c r="D53" i="23"/>
  <c r="D80" i="23"/>
  <c r="F48" i="23"/>
  <c r="F44" i="23"/>
  <c r="F40" i="23"/>
  <c r="F36" i="23"/>
  <c r="D45" i="23"/>
  <c r="D41" i="23"/>
  <c r="D37" i="23"/>
  <c r="K33" i="23"/>
  <c r="H32" i="23"/>
  <c r="F30" i="23"/>
  <c r="F26" i="23"/>
  <c r="D24" i="23"/>
  <c r="D18" i="23"/>
  <c r="D10" i="23"/>
  <c r="D65" i="23"/>
  <c r="F47" i="23"/>
  <c r="F43" i="23"/>
  <c r="F39" i="23"/>
  <c r="D48" i="23"/>
  <c r="D44" i="23"/>
  <c r="D40" i="23"/>
  <c r="D36" i="23"/>
  <c r="J33" i="23"/>
  <c r="G32" i="23"/>
  <c r="E30" i="23"/>
  <c r="E26" i="23"/>
  <c r="E24" i="23"/>
  <c r="D16" i="23"/>
  <c r="D8" i="23"/>
  <c r="D60" i="23"/>
  <c r="F46" i="23"/>
  <c r="F42" i="23"/>
  <c r="F38" i="23"/>
  <c r="D47" i="23"/>
  <c r="D43" i="23"/>
  <c r="D39" i="23"/>
  <c r="I35" i="23"/>
  <c r="I33" i="23"/>
  <c r="F32" i="23"/>
  <c r="E28" i="23"/>
  <c r="E20" i="23"/>
  <c r="D22" i="23"/>
  <c r="D13" i="23"/>
  <c r="D6" i="23"/>
  <c r="D50" i="23"/>
  <c r="F45" i="23"/>
  <c r="F41" i="23"/>
  <c r="F37" i="23"/>
  <c r="D46" i="23"/>
  <c r="D42" i="23"/>
  <c r="D38" i="23"/>
  <c r="D35" i="23"/>
  <c r="I32" i="23"/>
  <c r="D32" i="23"/>
  <c r="F28" i="23"/>
  <c r="D20" i="23"/>
  <c r="E22" i="23"/>
  <c r="D12" i="23"/>
  <c r="D4" i="23"/>
  <c r="E8" i="19"/>
  <c r="B6" i="19"/>
  <c r="D2" i="23"/>
  <c r="B2" i="16"/>
  <c r="D8" i="19"/>
  <c r="B4" i="19"/>
  <c r="B2" i="19"/>
  <c r="B2" i="20"/>
  <c r="B2" i="24"/>
  <c r="C8" i="19"/>
  <c r="B8" i="19"/>
  <c r="B16" i="14"/>
  <c r="B14" i="14"/>
  <c r="B4" i="14"/>
  <c r="C16" i="14"/>
  <c r="B2" i="14"/>
  <c r="E18" i="14"/>
  <c r="C14" i="14"/>
  <c r="B18" i="14"/>
  <c r="E20" i="14"/>
  <c r="B12" i="14"/>
  <c r="E21" i="14"/>
  <c r="C74" i="23" l="1"/>
  <c r="A77" i="23"/>
  <c r="B75" i="23"/>
  <c r="A57" i="23"/>
  <c r="B55" i="23"/>
  <c r="B56" i="23" s="1"/>
  <c r="C75" i="23"/>
  <c r="C76" i="23"/>
  <c r="D43" i="24"/>
  <c r="E43" i="24"/>
  <c r="G43" i="24"/>
  <c r="F43" i="24"/>
  <c r="A78" i="23" l="1"/>
  <c r="D30" i="24" s="1"/>
  <c r="B76" i="23"/>
  <c r="B58" i="23"/>
  <c r="B57" i="23"/>
  <c r="C77" i="23"/>
  <c r="C78" i="23" s="1"/>
  <c r="C16" i="24" l="1"/>
  <c r="C33" i="24" s="1"/>
  <c r="D34" i="24"/>
  <c r="D32" i="24"/>
  <c r="D31" i="24"/>
  <c r="D33" i="24"/>
  <c r="C14" i="24"/>
  <c r="C31" i="24" s="1"/>
  <c r="C15" i="24"/>
  <c r="C32" i="24" s="1"/>
  <c r="C17" i="24"/>
  <c r="C34" i="24" s="1"/>
  <c r="C13" i="24"/>
  <c r="C30" i="24" s="1"/>
  <c r="C85" i="23"/>
  <c r="C100" i="23" s="1"/>
  <c r="D44" i="24" s="1"/>
  <c r="A34" i="23"/>
  <c r="B77" i="23"/>
  <c r="B78" i="23" s="1"/>
  <c r="B61" i="23"/>
  <c r="B62" i="23"/>
  <c r="D45" i="24" l="1"/>
  <c r="D46" i="24"/>
  <c r="D47" i="24"/>
  <c r="D48" i="24"/>
  <c r="G15" i="24"/>
  <c r="C46" i="24" s="1"/>
  <c r="G13" i="24"/>
  <c r="C44" i="24" s="1"/>
  <c r="G17" i="24"/>
  <c r="C48" i="24" s="1"/>
  <c r="G16" i="24"/>
  <c r="C47" i="24" s="1"/>
  <c r="G14" i="24"/>
  <c r="C45" i="24" s="1"/>
  <c r="C34" i="23"/>
  <c r="B63" i="23"/>
  <c r="B66" i="23" l="1"/>
  <c r="D38" i="24" s="1"/>
  <c r="E17" i="24" l="1"/>
  <c r="C41" i="24" s="1"/>
  <c r="D41" i="24"/>
  <c r="D39" i="24"/>
  <c r="D40" i="24"/>
  <c r="E13" i="24"/>
  <c r="C37" i="24" s="1"/>
  <c r="E15" i="24"/>
  <c r="C39" i="24" s="1"/>
  <c r="E16" i="24"/>
  <c r="C40" i="24" s="1"/>
  <c r="E14" i="24"/>
  <c r="C38" i="24" s="1"/>
  <c r="B34" i="23"/>
  <c r="G34" i="23" s="1"/>
</calcChain>
</file>

<file path=xl/sharedStrings.xml><?xml version="1.0" encoding="utf-8"?>
<sst xmlns="http://schemas.openxmlformats.org/spreadsheetml/2006/main" count="1817" uniqueCount="1705">
  <si>
    <t>English (EN)</t>
  </si>
  <si>
    <t>1.1</t>
  </si>
  <si>
    <t>Reduced waste heat</t>
  </si>
  <si>
    <t>Reduced dust emissions</t>
  </si>
  <si>
    <t>Reduced maintenance cost</t>
  </si>
  <si>
    <t>Reduced noise</t>
  </si>
  <si>
    <t>Reduced risk of accident and occupational disease</t>
  </si>
  <si>
    <t>-</t>
  </si>
  <si>
    <t>Increased installation safety</t>
  </si>
  <si>
    <t>#</t>
  </si>
  <si>
    <t>#5: NEB Evaluator: Lists (English only)</t>
  </si>
  <si>
    <t>Internal lists only. Please do not modify this sheet unless you know what you are doing.</t>
  </si>
  <si>
    <t>List</t>
  </si>
  <si>
    <t>Entry</t>
  </si>
  <si>
    <t>Languages</t>
  </si>
  <si>
    <t>Deutsch (DE)</t>
  </si>
  <si>
    <t>Italiano (IT)</t>
  </si>
  <si>
    <t>Español (ES)</t>
  </si>
  <si>
    <t>Ελληνικά (GR)</t>
  </si>
  <si>
    <t>Français (FR)</t>
  </si>
  <si>
    <t>Latviešu valoda (LV)</t>
  </si>
  <si>
    <t>Română (RO)</t>
  </si>
  <si>
    <t>Relevant NEBs</t>
  </si>
  <si>
    <t>X</t>
  </si>
  <si>
    <t>keep empty entry!</t>
  </si>
  <si>
    <t>#5: NEB Evaluator: Translations</t>
  </si>
  <si>
    <r>
      <t xml:space="preserve">This page containts the internal language texts of the tool. </t>
    </r>
    <r>
      <rPr>
        <sz val="11"/>
        <color rgb="FFFF0000"/>
        <rFont val="Calibri"/>
        <family val="2"/>
      </rPr>
      <t>Please do not modify this sheet unless you know what you are doing.</t>
    </r>
  </si>
  <si>
    <t>Selected language column:</t>
  </si>
  <si>
    <t>ID</t>
  </si>
  <si>
    <t>General_Header</t>
  </si>
  <si>
    <t>Energieeffizienz entlang der Kühlkette (BETTED-Projekt)</t>
  </si>
  <si>
    <t>Migliorare l'efficienza energetica della catena del freddo (BETTED)</t>
  </si>
  <si>
    <t>Mejora de la eficiencia energética de la cadena de frío (BETTED)</t>
  </si>
  <si>
    <t>Βελτίωση ενεργειακής απόδοσης ψυχρής αλυσίδας (έργο BETTED)</t>
  </si>
  <si>
    <t>Améliorer l'efficacité énergétique de la chaîne du froid (BETTED)</t>
  </si>
  <si>
    <t>Saldētu produktu ķēdes energoefektivitātes uzlabošana (BETTED)</t>
  </si>
  <si>
    <t>Îmbunătățirea Eficienței Energetice a Lanțului de Frig (BETTED)</t>
  </si>
  <si>
    <t>Info_Header</t>
  </si>
  <si>
    <t>#5: NEB Bewertung: Info</t>
  </si>
  <si>
    <t>#5: Valutazione dei NEB: Info</t>
  </si>
  <si>
    <t>#5: Evaluador de BNE: Info</t>
  </si>
  <si>
    <t># 5: Αξιολογητής NEB: Πληροφορίες</t>
  </si>
  <si>
    <t>#5 : Évaluateur du BNE : Info</t>
  </si>
  <si>
    <t># 5: NEB vērtētājs: informācija</t>
  </si>
  <si>
    <t>#5: Evaluator NEB: Info</t>
  </si>
  <si>
    <t>Info_Header_Text</t>
  </si>
  <si>
    <t xml:space="preserve">This tool on non-energy benefits (NEBs) should serve as approach to discover the topic of NEBs in an exemplary manner. Energy efficiency measures (EEMs) can entail, additionally to the evident energy savings, non-energy related benefits, e.g. enhanced competitiveness, reduced maintenance requirements or an improved working environment. NEBs are easily underestimated, or even not considered, in the evaluation process of an energy saving project. </t>
  </si>
  <si>
    <t xml:space="preserve">Dieses Tool zu nicht-energetischen Vorteilen (NEBs) soll dazu dienen, das Thema der NEBs exemplarisch kennenzulernen. Energieeffizienzmaßnahmen (EEMs) können zusätzlich zu den offensichtlichen Energieeinsparungen auch nicht-energetische Vorteile mit sich bringen, z.B. eine erhöhte Wettbewerbsfähigkeit, geringere Wartungsanforderungen oder eine verbesserte Arbeitsumgebung. NEBs werden im Bewertungsprozess eines Energiesparprojekts leicht unterschätzt oder gar nicht berücksichtigt. </t>
  </si>
  <si>
    <t>Questo strumento sui benefici non energetici (NEB) dovrebbe servire come approccio per scoprire il tema dei NEB in modo esemplare. Le misure di efficienza energetica (EEM) possono comportare, oltre all'evidente risparmio energetico, benefici non correlati al mero risparmio energetico, quali una maggiore competitività, esigenze di manutenzione ridotte o un migliore ambiente di lavoro. I NEB sono spesso sottovalutati, o addirittura non considerati, nel processo di valutazione di un progetto di risparmio energetico.</t>
  </si>
  <si>
    <t xml:space="preserve">Esta herramienta sobre los beneficios no energéticos (BNE) debería servir como enfoque para descubrir el tema de los BNE de forma ejemplar. Las medidas de eficiencia energética (MAEs) pueden conllevar, además del evidente ahorro energético, beneficios no relacionados con la energía, por ejemplo, una mayor competitividad, una reducción de los requisitos de mantenimiento o una mejora del entorno de trabajo. Los beneficios no relacionados con la energía se subestiman fácilmente, o incluso no se tienen en cuenta, en el proceso de evaluación de un proyecto de ahorro energético. </t>
  </si>
  <si>
    <t>Αυτό το εργαλείο για τα μη ενεργειακά οφέλη (NEBs) θα πρέπει να χρησιμεύσει ως προσέγγιση για να ανακαλύψετε το θέμα των NEBs με υποδειγματικό τρόπο. Τα μέτρα ενεργειακής απόδοσης (EEMs) μπορούν να συνεπάγονται, επιπλέον της προφανούς εξοικονόμησης ενέργειας, οφέλη που δεν σχετίζονται με την ενέργεια, π.χ. βελτιωμένη ανταγωνιστικότητα, μειωμένες απαιτήσεις συντήρησης ή βελτιωμένο εργασιακό περιβάλλον. Τα NEBs υποτιμούνται εύκολα, ή ακόμη και δεν λαμβάνονται υπόψη, στη διαδικασία αξιολόγησης ενός έργου εξοικονόμησης ενέργειας.</t>
  </si>
  <si>
    <t xml:space="preserve">Cet outil sur les bénéfices non-énergétiques (BNE) devrait servir d'approche pour découvrir le sujet des BNE de manière exemplaire. Les mesures d'efficacité énergétique (MEE) peuvent entraîner, en plus des économies d'énergie évidentes, des avantages non énergétiques, par exemple une compétitivité accrue, des besoins de maintenance réduits ou un meilleur environnement de travail. Les BNE sont facilement sous-estimés, ou même non pris en compte, dans le processus d'évaluation d'un projet d'économie d'énergie. </t>
  </si>
  <si>
    <t xml:space="preserve">Šim instrumentam par ieguvumiem, kas nav saistīti ar enerģiju, vajadzētu kalpot par pieeju, lai priekšzīmīgi atklātu ar enerģiju nesaistītu ieguvumu tēmu. Energoefektivitātes (EE) pasākumi papildus acīmredzamajam enerģijas ietaupījumam var ietvert ar enerģiju nesaistītus ieguvumus, piemēram, uzlabota konkurētspēja, samazinātas uzturēšanas prasības vai uzlabota darba vide. Enerģijas taupīšanas projekta novērtēšanas procesā vietējās izpildvaras iestādes tiek viegli nenovērtētas vai pat netiek ņemtas vērā. </t>
  </si>
  <si>
    <t>Acest instrument privind beneficiile non-energetice (NEBs) ar trebui să servească drept abordare pentru a descoperi subiectul NEB într-un mod exemplar. Măsurile de eficiență energetică (EEMs) pot implica, în plus față de economiile evidente de energie, beneficii care nu sunt legate de energie, de exemplu o competitivitate sporită, cerințe reduse de întreținere sau un mediu de lucru îmbunătățit. NEB-urile sunt ușor subestimate sau chiar nu sunt luate în considerare în procesul de evaluare a unui proiect de economisire a energiei.</t>
  </si>
  <si>
    <t>Info_Language_Caption</t>
  </si>
  <si>
    <t>Language:</t>
  </si>
  <si>
    <t>Sprache:</t>
  </si>
  <si>
    <t>Lingua:</t>
  </si>
  <si>
    <t>Idioma:</t>
  </si>
  <si>
    <t>Γλώσσα:</t>
  </si>
  <si>
    <t>Langue :</t>
  </si>
  <si>
    <t>Valoda:</t>
  </si>
  <si>
    <t>Limba:</t>
  </si>
  <si>
    <t>Info_Language_Caption_Note</t>
  </si>
  <si>
    <t>Wichtiger Hinweis: Bitte wählen Sie zwingend Ihre Sprache aus, bevor Sie Daten in das leere Dokument eingeben und ändern Sie die Sprache nicht nachträglich. Andernfalls kann es zu Problemen kommen, da die Auswahlfelder nicht automatisch die neue Spracheinstellung übernehmen.</t>
  </si>
  <si>
    <t>Nota importante: Si prega di selezionare la lingua prima di compilare il foglio di calcolo con qualsiasi dato e di non cambiare la lingua in seguito. Altrimenti, potrebbero verificarsi dei problemi a causa dei menù a tendina che non si aggiornano automaticamente alla nuova impostazione della lingua.</t>
  </si>
  <si>
    <t>Nota importante: Por favor, elija su idioma antes de introducir cualquier dato en la herramienta y no cambie el idioma posteriormente. De lo contrario, pueden producirse problemas debido a que los campos desplegables no se actualizan automáticamente a la nueva configuración de idioma.</t>
  </si>
  <si>
    <t>Σημαντική σημείωση: Επιλέξτε τη γλώσσα σας προτού προσθέσετε δεδομένα στο κενό εργαλείο και μην αλλάξετε τη γλώσσα. Διαφορετικά, ενδέχεται να προκύψουν προβλήματα λόγω των αναπτυσσόμενων πεδίων που δεν ενημερώνονται αυτόματα ενημερώνονται στη νέα ρύθμιση γλώσσας.</t>
  </si>
  <si>
    <t>Note importante : Veuillez choisir votre langue avant d'ajouter des données à l'outil vide et ne changez pas la langue par la suite. Sinon, des problèmes peuvent survenir en raison des champs déroulants qui ne sont pas mis à jour automatiquement en fonction du nouveau paramètre de langue.</t>
  </si>
  <si>
    <t>Svarīga piezīme: Lūdzu, pirms visu datu pievienošanas tukšajam rīkam izvēlieties valodu un nemainiet valodu vēlāk. Pretējā gadījumā problēmas var rasties nolaižamo lauku dēļ, kas netiek automātiski atjaunināti uz jauno valodas iestatījumu.</t>
  </si>
  <si>
    <t>Notă importantă: Vă rugăm să alegeți limba înainte de a adăuga orice date în instrumentul gol și nu schimbați limba acolo mai târziu. În caz contrar, pot apărea probleme din cauza câmpurilor verticale care nu se actualizează automat la noua setare de limbă.</t>
  </si>
  <si>
    <t>Info_Version_Caption</t>
  </si>
  <si>
    <t xml:space="preserve">Version: </t>
  </si>
  <si>
    <t>Versione: </t>
  </si>
  <si>
    <t xml:space="preserve">Versión: </t>
  </si>
  <si>
    <t>Έκδοση:</t>
  </si>
  <si>
    <t xml:space="preserve">Version : </t>
  </si>
  <si>
    <t>Versija:</t>
  </si>
  <si>
    <t xml:space="preserve">Versiune: </t>
  </si>
  <si>
    <t>Info_Aim_Caption</t>
  </si>
  <si>
    <t xml:space="preserve">Aim: </t>
  </si>
  <si>
    <t xml:space="preserve">Ziel: </t>
  </si>
  <si>
    <t>Scopo: </t>
  </si>
  <si>
    <t xml:space="preserve">Objetivo: </t>
  </si>
  <si>
    <t>Σκοπός:</t>
  </si>
  <si>
    <t xml:space="preserve">Objectif : </t>
  </si>
  <si>
    <t>Mērķis:</t>
  </si>
  <si>
    <t xml:space="preserve">Obiectiv: </t>
  </si>
  <si>
    <t>Info_Aim_Text</t>
  </si>
  <si>
    <t>Ziel dieses Tools ist es, dem Nutzer mögliche NEBs von Energieeffizienzmaßnahmen, ihre Klassifizierung und ihre strategische Bewertung im Entscheidungsprozess einer EEM näher zu bringen. Ein weiterer Schwerpunkt des Tools ist die Bewertung von NEBs nicht nur aus der Perspektive des einzelnen Unternehmens, sondern auch entlang der gesamten Kühlkette.</t>
  </si>
  <si>
    <t>Lo scopo di questo strumento è quello di introdurre possibili NEB delle misure di efficienza energetica, la loro classificazione e la loro valutazione strategica nel processo decisionale di una misura di efficienza energetica. Un altro obiettivo dello strumento è quello di valutare i NEB non solo dal punto di vista della singola azienda ma anche lungo l'intera catena del freddo.</t>
  </si>
  <si>
    <t>El objetivo de esta herramienta es introducir los posibles BNE de las medidas de eficiencia energética, su clasificación y su análisis estratégico en el proceso de toma de decisiones de una MAE. Otro objetivo de la herramienta es evaluar los NEB no sólo desde la perspectiva de una empresa individual, sino también a lo largo de toda la cadena de suministro de frío.</t>
  </si>
  <si>
    <t>Ο στόχος αυτού του εργαλείου είναι να εισαγάγει πιθανά NEBs μέτρων ενεργειακής απόδοσης, την ταξινόμησή τους και τη στρατηγική τους αξιολόγηση στη διαδικασία λήψης αποφάσεων ενός EEM.Μία αλλη εστίαση του εργαλείου είναι η αξιολόγηση των NEBs όχι μόνο από μεμονωμένη προοπτική της εταιρείας αλλά και σε ολόκληρη την ψυχρή εφοδιαστική αλυσίδα.</t>
  </si>
  <si>
    <t>Le but de cet outil est d'introduire les BNE possibles des mesures d'efficacité énergétique, leur classification et leur évaluation stratégique dans le processus de décision d'une MEE. Un autre objectif de l'outil est d'évaluer les BNE non seulement du point de vue d'une entreprise individuelle mais aussi tout au long de la chaîne du froid.</t>
  </si>
  <si>
    <t xml:space="preserve">Šī rīka mērķis ir ieviest iespējamos energoefektivitātes pasākumu nacionālos izpildinstitūcijas, to klasifikāciju un stratēģisko novērtējumu EE pasākumu lēmumu pieņemšanas procesā. Vēl viena instrumenta uzmanība ir pievērsta ar enerģiju nesaistītu ieguvumu novērtēšanai ne tikai no individuāla uzņēmuma viedokļa, bet arī visā saldēto produktu piegādes ķēdē. </t>
  </si>
  <si>
    <t>Scopul acestui instrument este de a introduce posibile NEB-uri ale măsurilor de eficiență energetică, clasificarea acestora și evaluarea lor strategică în procesul decizional al unei EEM. Un alt obiectiv al instrumentului este de a evalua NEB nu numai dintr-o perspectivă individuală a companiei, ci și de-a lungul întregului lanț de frig.</t>
  </si>
  <si>
    <t>Info_Target_Caption</t>
  </si>
  <si>
    <t>Target group:</t>
  </si>
  <si>
    <t>Zielgruppe:</t>
  </si>
  <si>
    <t>Destinatari:</t>
  </si>
  <si>
    <t>Grupo objetivo:</t>
  </si>
  <si>
    <t>Ομάδα στόχος:</t>
  </si>
  <si>
    <t>Groupe cible :</t>
  </si>
  <si>
    <t>Mērķa grupa:</t>
  </si>
  <si>
    <t>Grup țintă:</t>
  </si>
  <si>
    <t>Info_Target_Text</t>
  </si>
  <si>
    <t xml:space="preserve">Lieferkettenmanager &amp; Umweltverantwortliche </t>
  </si>
  <si>
    <t>Responsabili della catena del freddo e responsabili ambientali</t>
  </si>
  <si>
    <t>Gestores de la cadena de suministro y gestores medioambientales</t>
  </si>
  <si>
    <t xml:space="preserve">Διαχειριστές εφοδιαστικής και περιβαντολλογικής αλυσίδας </t>
  </si>
  <si>
    <t>Responsables de la chaîne d'approvisionnement et responsables de l'environnement</t>
  </si>
  <si>
    <t>Piegādes ķēdes vadītāji un vides pārvaldītāji</t>
  </si>
  <si>
    <t>Manageri lanț de aprovizionare &amp; manageri de mediu</t>
  </si>
  <si>
    <t>Info_Coding_Caption</t>
  </si>
  <si>
    <t>Color coding:</t>
  </si>
  <si>
    <t>Farbgebung:</t>
  </si>
  <si>
    <t>Codice colore:</t>
  </si>
  <si>
    <t>Código de colores:</t>
  </si>
  <si>
    <t>Χρωματική κωδικοποίηση:</t>
  </si>
  <si>
    <t>Code couleur :</t>
  </si>
  <si>
    <t>Krāsas kods:</t>
  </si>
  <si>
    <t>Cod culoare:</t>
  </si>
  <si>
    <t>Info_Coding_User</t>
  </si>
  <si>
    <t>Das Feld ist ein Eingabefeld und benötigt eine Eingabe.</t>
  </si>
  <si>
    <t>Il campo è un campo di input e richiede l'input dell'utente.</t>
  </si>
  <si>
    <t>El campo requiere la introducción de datos por parte del usuario.</t>
  </si>
  <si>
    <t>Το πεδίο είναι πεδίο εισαγωγής και απαιτεί είσοδο από τον χρήστη.</t>
  </si>
  <si>
    <t>Le champ est un champ de saisie et nécessite la saisie de l'utilisateur.</t>
  </si>
  <si>
    <t>Lauks ir ievades lauks, un tam ir jāievada lietotājs.</t>
  </si>
  <si>
    <t>Câmpul este un câmp de input și necesită inputul utilizatorului.</t>
  </si>
  <si>
    <t>Info_Coding_Transfer</t>
  </si>
  <si>
    <t>Information transferred from a different part of the workbook.</t>
  </si>
  <si>
    <t>Information, die aus einem anderen Bereich der Arbeitsmappe übertragen wurde.</t>
  </si>
  <si>
    <t>Informazioni trasferite da un'altra parte della cartella di lavoro.</t>
  </si>
  <si>
    <t>Información transferida desde otra parte del libro de trabajo.</t>
  </si>
  <si>
    <t>Πληροφορίες που μεταφέρονται από διαφορετικό μέρος του βιβλίου εργασίας.</t>
  </si>
  <si>
    <t>Informations transférées depuis une autre partie du classeur.</t>
  </si>
  <si>
    <t>Informācija, kas pārsūtīta no citas darba grāmatas daļas.</t>
  </si>
  <si>
    <t>Informații transferate dintr-o parte diferită a registrului.</t>
  </si>
  <si>
    <t>Info_Coding_Calculated</t>
  </si>
  <si>
    <t>Information calculated based on other values.</t>
  </si>
  <si>
    <t>Information, die aus anderen Angaben abgeleitet wurde</t>
  </si>
  <si>
    <t>Informazioni calcolate in base ad altri valori.</t>
  </si>
  <si>
    <t>Información calculada en base a otros valores.</t>
  </si>
  <si>
    <t>Πληροφορίες που υπολογίζονται με βάση άλλες τιμές.</t>
  </si>
  <si>
    <t>Informations calculées sur la base d'autres valeurs.</t>
  </si>
  <si>
    <t>Informācija, kas aprēķināta, pamatojoties uz citām vērtībām.</t>
  </si>
  <si>
    <t>Informații calculate pe baza altor valori.</t>
  </si>
  <si>
    <t>Info_Acknowledgements_Caption</t>
  </si>
  <si>
    <t>Acknowledgements:</t>
  </si>
  <si>
    <t xml:space="preserve">Danksagung: </t>
  </si>
  <si>
    <t>Ringraziamenti:</t>
  </si>
  <si>
    <t>Agradecimientos:</t>
  </si>
  <si>
    <t>Αναγνωρίσεις:</t>
  </si>
  <si>
    <t>Remerciements :</t>
  </si>
  <si>
    <t>Mulţumiri:</t>
  </si>
  <si>
    <t>Info_Acknowledgements_Text</t>
  </si>
  <si>
    <t>The BETTED project team gratefully acknolwedges the support by its sister projects ICCE (www.ICCEE.eu) and M-Benefits (https://www.mbenefits.eu/) providing the basis for this tool.</t>
  </si>
  <si>
    <t>Das BETTED-Projektteam bedankt sich für die Unterstützung durch unser Schwesterprojekt M-Benefits (https://www.mbenefits.eu/), das die Entwicklungsgrundlage für dieses Tool bereitstellte.</t>
  </si>
  <si>
    <t>Il team del progetto BETTED ringrazia il supporto del suo progetto gemello M-Benefits (https://www.mbenefits.eu/) che ha fornito la base per questo strumento.</t>
  </si>
  <si>
    <t>El equipo del proyecto BETTED agradece el apoyo de su proyecto hermano M-Benefits (https://www.mbenefits.eu/) que proporcionó la base para esta herramienta.</t>
  </si>
  <si>
    <t>Η ομάδα  έργου του BETTED αναγνώρισε με ευγνωμοσύνη την υποστήριξη του συνεργαζόμενου έργου M-Benefits (https://www.mbenefits.eu/) παρέχοντας τη βάση για αυτό το εργαλείο.</t>
  </si>
  <si>
    <t>L'équipe du projet BETTED est reconnaissante du soutien apporté par son projet frère M-Benefits (https://www.mbenefits.eu/) qui a fourni la base de cet outil.</t>
  </si>
  <si>
    <t>BETTED projekta komanda apliecina pateicību māsas projekta M-Benefits (https://www.mbenefits.eu/) atbalstu, nodrošinot pamatu šim rīkam.</t>
  </si>
  <si>
    <t>Echipa de proiect BETTED mulțumește cu recunoștință pentru sprijinul de către proiectul său sora M-Benefits (https://www.mbenefits.eu/), oferind baza pentru acest instrument.</t>
  </si>
  <si>
    <t>Info_Copyright_Caption</t>
  </si>
  <si>
    <t xml:space="preserve">Copyright: </t>
  </si>
  <si>
    <t>Copyright:</t>
  </si>
  <si>
    <t xml:space="preserve">Derechos de autor: </t>
  </si>
  <si>
    <t>Πνευματική ιδιοκτησία:</t>
  </si>
  <si>
    <t xml:space="preserve">Copyright : </t>
  </si>
  <si>
    <t>Autortiesības:</t>
  </si>
  <si>
    <t xml:space="preserve">Drepturi de autor: </t>
  </si>
  <si>
    <t>Info_Copyright_Text1</t>
  </si>
  <si>
    <t>(c) BETTED Project, 2024 (https://betted-project.eu)</t>
  </si>
  <si>
    <t>(c) BETTED Projekt, 2021 (www.BETTED.eu)</t>
  </si>
  <si>
    <t>(c) Progetto BETTED, 2021 (www.BETTED.eu)</t>
  </si>
  <si>
    <t>(c) Proyecto BETTED, 2021 (www.BETTED.eu)</t>
  </si>
  <si>
    <t>(c) BETTED Project, 2021 (www.BETTED.eu)</t>
  </si>
  <si>
    <t>(c) Projet BETTED, 2021 (www.BETTED.eu)</t>
  </si>
  <si>
    <t>(c) BETTED projekts, 2021. gads (www.BETTED.eu)</t>
  </si>
  <si>
    <t>(c) Proiectul BETTED, 2021 (www.BETTED.eu)</t>
  </si>
  <si>
    <t>Info_Copyright_Text2</t>
  </si>
  <si>
    <t>Alle Rechte vorbehalten; kein Teil dieses Dokuments darf ohne schriftliche Genehmigung des Herausgebers in jedwelcher Form oder mit jedwelchen Mitteln - elektronisch, mechanisch, durch Fotokopie, Aufzeichnung oder auf andere Weise - übersetzt, vervielfältigt, in einem Abrufsystem gespeichert oder übertragen werden. Viele der Bezeichnungen, die von Herstellern und Verkäufern zur Unterscheidung ihrer Produkte verwendet werden, sind als Markenzeichen geschützt. Aus der Nennung dieser Bezeichnungen, in welcher Form auch immer, kann nicht geschlossen werden, dass die Verwendung dieser Bezeichnungen ohne Zustimmung des Eigentümers der Marke legal ist. Die alleinige Verantwortung für das Dokument liegt bei dem Projekt. Das Dokument gibt nicht unbedingt die Meinung der Europäischen Union wieder. Weder die CINEA noch die Europäische Kommission sind für die Verwendung der darin enthaltenen Informationen verantwortlich. Die englische Version dieser Copyright-Information ist maßgebend. Versionen in anderen Sprachen dienen nur zu Informationszwecken.</t>
  </si>
  <si>
    <t>Tutti i diritti riservati; nessuna parte di questo documento può essere tradotta, riprodotta, memorizzata in un sistema di recupero, o trasmessa in qualsiasi forma o con qualsiasi mezzo, elettronico, meccanico, fotocopia, ri-registrazione o altro, senza il permesso scritto dell'editore. Molte delle denominazioni usate da produttori e venditori per distinguere i loro prodotti sono rivendicate come marchi di fabbrica. La citazione di tali denominazioni in qualsiasi modo non implica la conclusione che l'uso di tali denominazioni sia legale senza il consenso del proprietario del marchio. La responsabilità del documento è esclusivamente del progetto. Il documento non riflette necessariamente l'opinione dell'Unione Europea. Né l'CINEA né la Commissione Europea sono responsabili dell'uso che può essere fatto delle informazioni in esso contenute. La versione inglese del copyright fa fede. Le versioni in altre lingue sono solo a scopo informativo.</t>
  </si>
  <si>
    <t>Todos los derechos reservados; ninguna parte de este documento puede ser traducida, reproducida, almacenada en un sistema de recuperación o transmitida en cualquier forma o por cualquier medio, ya sea electrónico, mecánico, de fotocopia, de grabación o de otro tipo, sin el permiso por escrito del editor. Muchas de las denominaciones utilizadas por los fabricantes y vendedores para distinguir sus productos se reclaman como marcas comerciales. La cita de dichas denominaciones, sea cual sea su forma, no implica la conclusión de que el uso de las mismas sea legal sin el contenido del propietario de la marca. La responsabilidad del documento recae exclusivamente en el proyecto. El documento no refleja necesariamente la opinión de la Unión Europea. La CINEA, la Comisión Europea y los socios del proyecto no son responsables del uso que pueda hacerse de la información contenida en él. La versión en inglés es la autorizada. Las versiones en otros idiomas son sólo a título informativo.</t>
  </si>
  <si>
    <t>Με επιφυλαξη παντως δικαιωματος; κανένα μέρος αυτού του εγγράφου δεν μπορεί να μεταφραστεί, να αναπαραχθεί, να αποθηκευτεί σε ένα σύστημα ανάκτησης, ή να μεταδοθεί σε οποιαδήποτε μορφή ή με οποιονδήποτε τρόπο, ηλεκτρονικό, μηχανικό, φωτοτυπικό, εκ νέου εγγραφή ή άλλως, χωρίς τη γραπτή άδεια του εκδότη. Πολλοί από τους χαρακτηρισμούς που χρησιμοποιούνται από τους κατασκευαστές και τους πωλητές για να διακρίνουν τα προϊόντα τους ισχυρίζονται ως εμπορικά σήματα. Η αναφορά αυτών των ονομασιών με οποιονδήποτε τρόπο δεν συνεπάγεται το συμπέρασμα ότι η χρήση αυτών των ονομασιών είναι νόμιμη χωρίς το περιεχόμενο του κατόχου του εμπορικού σήματος. Η αποκλειστική ευθύνη για το έγγραφο βαρύνει το έργο. Το έγγραφο δεν αντικατοπτρίζει απαραίτητα τη γνώμη της Ευρωπαϊκής Ένωσης. Ούτε το CINEA ούτε η Ευρωπαϊκή Επιτροπή ευθύνονται για οποιαδήποτε χρήση των πληροφοριών που περιέχονται σε αυτήν. Η αγγλική έκδοση των πνευματικών δικαιωμάτων είναι έγκυρη. Οι εκδόσεις σε άλλες γλώσσες προορίζονται μόνο για ενημερωτικούς σκοπούς.</t>
  </si>
  <si>
    <t>Tous droits réservés ; aucune partie de ce document ne peut être traduite, reproduite, stockée dans un système d'extraction ou transmise sous quelque forme ou par quelque moyen que ce soit, électronique, mécanique, photocopie, réenregistrement ou autre, sans l'autorisation écrite de l'éditeur. De nombreuses désignations utilisées par les fabricants et les vendeurs pour distinguer leurs produits sont revendiquées comme des marques commerciales. La citation de ces désignations de quelque manière que ce soit n'implique pas la conclusion que l'utilisation de ces désignations est légale sans le contenu du propriétaire de la marque. La responsabilité du document incombe exclusivement au projet. Le document ne reflète pas nécessairement l'opinion de l'Union européenne. Ni l'CINEA ni la Commission européenne ne sont responsables de l'usage qui pourrait être fait des informations qu'il contient. La version anglaise du copyright fait autorité. Les versions dans d'autres langues ne sont données qu'à titre d'information.</t>
  </si>
  <si>
    <t>Visas tiesības aizsargātas; nevienu šī dokumenta daļu nedrīkst iztulkot, reproducēt, uzglabāt atvērtas piekļuves sistēmā vai pārsūtīt jebkādā formā vai ar jebkādiem līdzekļiem, elektroniski, mehāniski, fotokopējot, pārrakstot vai citādi, bez rakstiskas izdevēja atļaujas. Daudzi no apzīmējumiem, kurus ražotāji un pārdevēji izmanto, lai atšķirtu savus produktus, tiek uzskatīti par preču zīmēm. Šo apzīmējumu citēšana jebkādā veidā nenozīmē, ka to izmantošana ir likumīga bez preču zīmes īpašnieka satura. Vienīgā atbildība par dokumentu gulstas uz projektu. Dokuments ne vienmēr atspoguļo Eiropas Savienības viedokli. Ne CINEA, ne Eiropas Komisija nav atbildīga par tajā ietvertās informācijas jebkādu izmantošanu. Autortiesības ir angļu valodā. Versijas citās valodās ir paredzētas tikai informatīviem nolūkiem.</t>
  </si>
  <si>
    <t>Toate drepturile rezervate; nici o parte a acestui document nu poate fi tradusă, reprodusă, stocată într-un sistem de recuperare sau transmisă sub orice formă sau prin orice mijloace, electronice, mecanice, fotocopiere, re-cording sau în alt mod, fără permisiunea scrisă a editorului. Multe dintre denumirile utilizate de producători și vânzători pentru a distinge produsele lor sunt revendicate ca mărci comerciale. Citatul acestor denumiri în orice mod nu implică concluzia că utilizarea acestor denumiri este legală fără conținutul proprietarului mărcii. Responsabilitatea exclusivă pentru document revine proiectului. Documentul nu reflectă neapărat opinia Uniunii Europene. Nici CINEA, nici Comisia Europeană nu sunt responsabile pentru orice utilizare care poate fi făcută a informațiilor conținute în acesta. Versiunea în limba engleză a drepturilor de autor este autoritară. Versiunile în alte limbi sunt doar în scop informativ.</t>
  </si>
  <si>
    <t>Versions_Header</t>
  </si>
  <si>
    <t>#5: NEB Bewertung: Versionen</t>
  </si>
  <si>
    <t>#5: Valutazione dei NEB: Versioni</t>
  </si>
  <si>
    <t>#5: Evaluador BNE: Versiones</t>
  </si>
  <si>
    <t>#5: NEB Αξιολογητής: Εκδόσεις</t>
  </si>
  <si>
    <t>#5 : Évaluateur de BNE : Versions</t>
  </si>
  <si>
    <t># 5: Ar enerģiju nesaistītu ieguvumu vērtētājs: versijas</t>
  </si>
  <si>
    <t>#5: Evaluator NEB: Versiuni</t>
  </si>
  <si>
    <t>Versions_Header_Text</t>
  </si>
  <si>
    <t>Version history</t>
  </si>
  <si>
    <t>Versionshistorie</t>
  </si>
  <si>
    <t>Cronologia delle versioni</t>
  </si>
  <si>
    <t>Historial de versiones</t>
  </si>
  <si>
    <t>Ιστορία έκδοσης</t>
  </si>
  <si>
    <t>Historique des versions</t>
  </si>
  <si>
    <t>Versijas vēsture</t>
  </si>
  <si>
    <t>Istoria versiunii</t>
  </si>
  <si>
    <t>Versions_Table_Heading_Date</t>
  </si>
  <si>
    <t>Date</t>
  </si>
  <si>
    <t>Datum</t>
  </si>
  <si>
    <t>Data</t>
  </si>
  <si>
    <t>Fecha</t>
  </si>
  <si>
    <t>Ημερομηνία</t>
  </si>
  <si>
    <t>Datums</t>
  </si>
  <si>
    <t>Versions_Table_Heading_Version</t>
  </si>
  <si>
    <t>Version</t>
  </si>
  <si>
    <t>Versione</t>
  </si>
  <si>
    <t>Versión</t>
  </si>
  <si>
    <t>Εκδοση</t>
  </si>
  <si>
    <t>Versija</t>
  </si>
  <si>
    <t>Versiunea</t>
  </si>
  <si>
    <t>Versions_Table_Heading_Change</t>
  </si>
  <si>
    <t>Change</t>
  </si>
  <si>
    <t>Änderung</t>
  </si>
  <si>
    <t>Modifiche</t>
  </si>
  <si>
    <t>Cambio</t>
  </si>
  <si>
    <t>Αλλαγή</t>
  </si>
  <si>
    <t>Changement</t>
  </si>
  <si>
    <t>Izmaiņas</t>
  </si>
  <si>
    <t>Schimbare</t>
  </si>
  <si>
    <t>Versions_Table_Heading_Changeby</t>
  </si>
  <si>
    <t>Change by</t>
  </si>
  <si>
    <t>Geändert durch</t>
  </si>
  <si>
    <t>Modifiche apportate da</t>
  </si>
  <si>
    <t>Cambiado por</t>
  </si>
  <si>
    <t>Αλλαγή από</t>
  </si>
  <si>
    <t>Changement par</t>
  </si>
  <si>
    <t>Izmaiņas veica</t>
  </si>
  <si>
    <t>Schimbare de către</t>
  </si>
  <si>
    <t>Identification_Header</t>
  </si>
  <si>
    <t>#5: NEB Bewertung: Identifizieren Sie relevante nicht-energetische Vorteile für Ihre Energieeffizienzmaßnahme</t>
  </si>
  <si>
    <t>#5: Valutazione dei NEB: Identificare i benefici non energetici rilevanti per la misura di efficienza energetica</t>
  </si>
  <si>
    <t>#5: Evaluador de BNE: Identifique los beneficios no energéticos relevantes para su medida de eficiencia energética</t>
  </si>
  <si>
    <t># 5: Αξιολογητής NEB: Προσδιορίστε τα σχετικά μη ενεργειακά οφέλη για το μέτρο ενεργειακής απόδοσης</t>
  </si>
  <si>
    <t>#5 : Évaluateur de BNE : Identifier les avantages non énergétiques pertinents pour votre mesure d'efficacité énergétique</t>
  </si>
  <si>
    <t xml:space="preserve"># 5: NEB novērtētājs: nosakiet attiecīgos ieguvumus, kas nav saistīti ar enerģiju jūsu energoefektivitātes rādītājam </t>
  </si>
  <si>
    <t>#5: Evaluator NEB: Identificarea beneficiilor non-energetice relevante pentru măsura dumneavoastră de eficiență energetică</t>
  </si>
  <si>
    <t>Identification_Header_Text</t>
  </si>
  <si>
    <t>Energieeffizienzmaßnahmen (EEMs) können zusätzlich zu den offensichtlichen Energieeinsparungen auch nicht-energetische Vorteile (NEBs) mit sich bringen, wie z.B. erhöhte Wettbewerbsfähigkeit, geringere Wartungsanforderungen oder eine verbesserte Arbeitsumgebung. Eine beispielhafte Kühlkette besteht aus mehreren Stufen vom Rohstofflieferanten bis zum Einzelhändler. Im Folgenden sind Sie eingeladen, eine in Ihrem Unternehmen oder Ihrer Kühlkette umgesetzte beispielhafte EEM zu analysieren und die positiven Auswirkungen für Sie und andere Stufen Ihrer Kette zu betrachten.</t>
  </si>
  <si>
    <t>Le misure di efficienza energetica (EEM) possono comportare, oltre agli evidenti risparmi energetici, benefici non energetici (NEB), come una maggiore competitività, minori esigenze di manutenzione o un migliore ambiente di lavoro. Un esempio di catena del freddo consiste in diverse fasi dalla fornitura di materie prime alla vendita. Di seguito siete invitati ad analizzare una misura di efficienza energetica implementata nella vostra azienda o catena del freddo e a considerare gli effetti positivi per voi e per le altre fasi della catena.</t>
  </si>
  <si>
    <t>Las medidas de eficiencia energética (MAEs) pueden conllevar, además del evidente ahorro de energía, beneficios no relacionados con la energía (BNE), como el aumento de la competitividad, la reducción de los requisitos de mantenimiento o la mejora del entorno de trabajo. Un ejemplo de cadena de suministro de frío consta de varias etapas, desde el proveedor de materias primas hasta el minorista. A continuación, le invitamos a analizar un ejemplo de MAE implantada en su empresa o cadena de frío y a considerar los efectos positivos para usted y otras etapas de su cadena.</t>
  </si>
  <si>
    <t>Τα μέτρα ενεργειακής απόδοσης (EEM) μπορούν να συνεπάγονται, εκτός από την εμφανή εξοικονόμηση ενέργειας, τα οφέλη που δεν σχετίζονται με την ενέργεια (NEBs), όπως αυξημένη ανταγωνιστικότητα, μειωμένες απαιτήσεις συντήρησης ή βελτιωμένο εργασιακό περιβάλλον. Ένα δείγμα ψυχρής εφοδιαστικής αλυσίδας αποτελείται από διάφορα στάδια από τον προμηθευτή πρώτων υλών έως τον λιανοπωλητή. Στη συνέχεια σας προσκαλούμε να αναλύσετε ένα υποδειγματικό EEM που εφαρμόζεται στην εταιρεία σας ή στην ψυκτική αλυσίδα και να λάβετε υπόψη τα θετικά αποτελέσματα για εσάς και άλλα στάδια της αλυσίδας σας.</t>
  </si>
  <si>
    <t>Les mesures d'efficacité énergétique (MEE) peuvent entraîner, en plus des économies d'énergie évidentes, des bénéfices non énergétiques (BNE), tels qu'une compétitivité accrue, des besoins de maintenance réduits ou un meilleur environnement de travail. Un modèle de chaîne d'approvisionnement en froid comprend plusieurs étapes, du fournisseur de matières premières au détaillant. Dans ce qui suit, nous vous invitons à analyser une mesure d'efficacité énergétique exemplaire mise en œuvre dans votre entreprise ou votre chaîne du froid et à en examiner les effets positifs pour vous et les autres étapes de votre chaîne.</t>
  </si>
  <si>
    <t>Energoefektivitātes (EE) pasākumi papildus acīmredzamajam enerģijas ietaupījumam var ietvert ieguvumus, kas nav saistīti ar enerģiju, piemēram, paaugstinātu konkurētspēju, samazinātas uzturēšanas prasības vai uzlabotu darba vidi. SAldētu produktu piegādes ķēdes paraugs sastāv no vairākiem posmiem, sākot no izejvielu piegādātāja līdz mazumtirgotājam. Turpmāk jūs esat aicināts analizēt piemērotu EE pasākumu, kas ieviests jūsu uzņēmumā vai piegādes ķēdē, un apsvērt pozitīvo ietekmi uz jums un citiem ķēdes posmiem.</t>
  </si>
  <si>
    <t>Măsurile de eficiență energetică (EEM) pot implica, în plus față de economiile evidente de energie, beneficii care nu sunt legate de energie (NEB), cum ar fi creșterea competitivității, reducerea cerințelor de întreținere sau îmbunătățirea mediului de lucru. Un lanț de frig eșantion constă în mai multe etape, de la furnizorul de materii prime la comerciantul cu amănuntul. În cele ce urmează sunteți invitați să analizați o EEM exemplară implementată în compania dvs sau în lanțul de frig și să luați în considerare efectele pozitive pentru dvs și alte etape ale lanțului dvs.</t>
  </si>
  <si>
    <t>Identification_Define</t>
  </si>
  <si>
    <t>Define your energy efficiency measure</t>
  </si>
  <si>
    <t xml:space="preserve">Definition Ihrer Energieeffizienzmaßnahme
</t>
  </si>
  <si>
    <t>Definire la misura di efficienza energetica</t>
  </si>
  <si>
    <t>Defina su medida de eficiencia energética</t>
  </si>
  <si>
    <t>Καθορίστε το μέτρο ενεργειακής απόδοσης</t>
  </si>
  <si>
    <t>Définissez votre mesure d'efficacité énergétique</t>
  </si>
  <si>
    <t>Definējiet savu energoefektivitātes rādītāju</t>
  </si>
  <si>
    <t>Definiți măsura dvs de eficiență energetică</t>
  </si>
  <si>
    <t>Identification_Define_Text</t>
  </si>
  <si>
    <t>Falls vorhanden, wählen Sie eine kürzlich in Ihrem Unternehmen umgesetzte Energieeffizienzmaßnahme aus. Wenn kürzlich keine Maßnahmen umgesetzt wurden, wählen Sie eine hypothetische Maßnahme auf der Grundlage Ihrer Erfahrungen.</t>
  </si>
  <si>
    <t>Scegliere e descrivere una misura di efficienza energetica implementata recentemente nella vostra azienda, se disponibile. Se non sono state implementate misure recenti, scegliere una misura ipotetica sulla base della vostra esperienza. Considerate se ci sono progetti di risparmio energetico già implementati o pianificati in collaborazione con altri attori operanti nella vostra catena del freddo che potrebbero essere interessanti per una valutazione.</t>
  </si>
  <si>
    <t>Elija y describa una medida de eficiencia energética implementada recientemente en su empresa, si está disponible. Si no se han aplicado medidas recientes, elija una medida hipotética basada en su experiencia. Considere si hay proyectos de ahorro energético ya implementados o planificados en cooperación con otros miembros de su cadena de suministro de frío que podrían ser interesantes para una evaluación.</t>
  </si>
  <si>
    <t>Επιλέξτε και περιγράψτε ένα EEM που εφαρμόστηκε πρόσφατα στην εταιρεία σας, εάν είναι διαθέσιμο. Εάν δεν έχουν εφαρμοστεί πρόσφατα μέτρα, επιλέξτε ένα υποθετικό μέτρο βάσει της εμπειρίας σας. Σκεφτείτε εάν υπάρχουν ήδη υλοποιημένα ή προγραμματισμένα έργα εξοικονόμησης ενέργειας σε συνεργασία με άλλα μέλη της αλυσίδας ψυχρής προμήθειας που θα μπορούσαν να είναι ενδιαφέροντα για αξιολόγηση.</t>
  </si>
  <si>
    <t>Choisissez et décrivez une mesure d'efficacité énergétique récemment mise en œuvre dans votre entreprise, si elle existe. Si aucune mesure récente n'a été mise en œuvre, choisissez une mesure hypothétique sur la base de votre expérience. Veuillez considérer s'il existe des projets d'économie d'énergie déjà mis en œuvre ou planifiés en coopération avec d'autres membres de votre chaîne du froid qui pourraient être intéressants pour une évaluation.</t>
  </si>
  <si>
    <t>Izvēlieties un aprakstiet nesen ieviesto EE pasākumu savā uzņēmumā, ja tas ir pieejams. Ja nesenie pasākumi nav ieviesti, izvēlieties hipotētisku mēru, pamatojoties uz savu pieredzi. Lūdzu, apsveriet, vai sadarbībā ar citiem jūsu aukstās piegādes ķēdes dalībniekiem jau ir īstenoti vai plānoti enerģijas taupīšanas projekti, kas varētu būt interesanti novērtēšanai.</t>
  </si>
  <si>
    <t>Alegeți și descrieți o EEM implementată recent în compania dvs., dacă este disponibilă. În cazul în care nu au fost puse în aplicare măsuri recente, alegeți o măsură ipotetică pe baza experienței dvs. Vă rugăm să luați în considerare dacă există proiecte de economisire a energiei deja puse în aplicare sau planificate în cooperare cu alți membri ai lanțului de frig, care ar putea fi interesante pentru o evaluare.</t>
  </si>
  <si>
    <t>Identification_Title</t>
  </si>
  <si>
    <t>Title of EEM</t>
  </si>
  <si>
    <t>Titel der EEM</t>
  </si>
  <si>
    <t>Denominazione della misura di efficienza energetica</t>
  </si>
  <si>
    <t>Título de la MAE</t>
  </si>
  <si>
    <t>Τίτλος του ΕΕΜ</t>
  </si>
  <si>
    <t>Titre de la MEE</t>
  </si>
  <si>
    <t>EE nosaukums</t>
  </si>
  <si>
    <t>Titlul EEM</t>
  </si>
  <si>
    <t>Identification_Description</t>
  </si>
  <si>
    <t>Description</t>
  </si>
  <si>
    <t>Beschreibung</t>
  </si>
  <si>
    <t>Descrizione</t>
  </si>
  <si>
    <t>Descripción</t>
  </si>
  <si>
    <t>Περιγραφή</t>
  </si>
  <si>
    <t>Apraksts</t>
  </si>
  <si>
    <t>Descriere</t>
  </si>
  <si>
    <t>Identification_Select</t>
  </si>
  <si>
    <t>Select relevant non-energy benefits</t>
  </si>
  <si>
    <t>Auswahl relevanter nicht-energetischer Vorteile</t>
  </si>
  <si>
    <t>Selezionare i benefici non energetici rilevanti</t>
  </si>
  <si>
    <t>Seleccione los beneficios no energéticos relevantes</t>
  </si>
  <si>
    <t>Επιλέξτε σχετικά μη ενεργειακά οφέλη</t>
  </si>
  <si>
    <t>Sélectionnez les bénéfices non-énergétiques pertinents</t>
  </si>
  <si>
    <t>Atlasiet attiecīgos ieguvumus, kas nav saistīti ar enerģiju</t>
  </si>
  <si>
    <t>Selectați beneficii non-energetice relevante</t>
  </si>
  <si>
    <t>Identification_Select_Text</t>
  </si>
  <si>
    <t>Für die von Ihnen gewählte EEM: Bitte gehen Sie die drei folgenden Schritte durch, d.h. identifizieren Sie relevante NEBs und bewerten und analysieren Sie deren strategische Bedeutung für Ihr Unternehmen bzw. Ihre Kühlkette.</t>
  </si>
  <si>
    <t>Per la EEM prescelta: Si prega di seguire i tre step seguenti, cioè identificare i benefici non energetici rilevanti e valutare ed analizzare la loro importanza per la strategia della vostra azienda o della catena del freddo nella quale operate.</t>
  </si>
  <si>
    <t xml:space="preserve">Para su MAE elegida: Por favor, siga los tres pasos siguientes, es decir, identifique los BNE relevantes y evalúe y analice su importancia para la estrategia de su empresa respectivamente de la cadena de suministro de frío. </t>
  </si>
  <si>
    <t>Για το EEM που έχετε επιλέξει: Ακολουθήστε τα παρακάτω τρία βήματα, δηλαδή προσδιορίστε σχετικούς NEBs και αξιολογήστε και αναλύστε τη σημασία τους για τη στρατηγική της εταιρείας σας αντίστοιχα της ψυχρής εφοδιαστικής αλυσίδας.</t>
  </si>
  <si>
    <t xml:space="preserve">Pour la MEE que vous avez choisie : veuillez suivre les trois étapes ci-dessous, c'est-à-dire identifier les BNE pertinents et évaluer et analyser leur importance pour la stratégie de votre entreprise, respectivement de votre chaîne logistique du froid. </t>
  </si>
  <si>
    <t>Jūsu izvēlētajam EE pasākumam: Lūdzu, veiciet trīs tālāk norādītās darbības, t.i., identificējiet atbilstošos ar enerģiju nesais'titus ieguvumus un novērtējiet un analizējiet to nozīmi sava uzņēmuma vai piegādes ķēdes stratēģijā.</t>
  </si>
  <si>
    <t>Pentru EEM aleasă: Vă rugăm să parcurgeți cei trei pași de mai jos, adică să identificați NEB-urile relevante și să evaluați și să analizați importanța acestora pentru strategia companiei dumneavoastră, respectiv a lanțului de frig.</t>
  </si>
  <si>
    <t>Identification_Relevance</t>
  </si>
  <si>
    <t>#1: Relevance</t>
  </si>
  <si>
    <t>#1: Relevanz</t>
  </si>
  <si>
    <t>#1: Rilevanza</t>
  </si>
  <si>
    <t>#1: Relevancia</t>
  </si>
  <si>
    <t># 1: Συνάφεια</t>
  </si>
  <si>
    <t>#1 : Pertinence</t>
  </si>
  <si>
    <t># 1: Nozīmīgums</t>
  </si>
  <si>
    <t>#1: Relevanța</t>
  </si>
  <si>
    <t>Identification_Relevance_Text</t>
  </si>
  <si>
    <t xml:space="preserve">Relevant NEBs: Please go through the list of NEBs along with suggested indicators and select those relevant for your EEM by an 'X' (column G). </t>
  </si>
  <si>
    <t xml:space="preserve">Relevante NEBs: Bitte gehen Sie die Liste der NEBs zusammen mit den vorgeschlagenen Indikatoren durch und wählen Sie die für Ihre EEM relevanten NEBs durch ein "X" (Spalte G) aus. </t>
  </si>
  <si>
    <t>NEB rilevanti: Scorrere la lista dei NEB insieme agli indicatori suggeriti e selezionare quelli rilevanti per la vostra EEM con una 'X' (colonna G).</t>
  </si>
  <si>
    <t xml:space="preserve">Los BNE relevantes: Revise la lista de los factores de necrología junto con los indicadores sugeridos y seleccione con una "X" los que sean relevantes para su MAE (columna G). </t>
  </si>
  <si>
    <t>Σχετικές NEBs: Περιηγηθείτε στη λίστα NEBs μαζί με τις προτεινόμενες ενδείξεις και επιλέξτε εκείνες που είναι σχετικές για το EEM σας με ένα «X» (στήλη G).</t>
  </si>
  <si>
    <t xml:space="preserve">BNE pertinents : Parcourez la liste des BNE avec les indicateurs suggérés et sélectionnez ceux qui sont pertinents pour votre MEE en cochant la case "X" (colonne G). </t>
  </si>
  <si>
    <t>Attiecīgie ar enerģiju nesaistītie ieguvumu: Lūdzu, izlasiet ieguvumu sarakstu, kā arī ieteiktos rādītājus un atlasiet tos, kas attiecas uz jūsu EE pasākumu, izmantojot “X” (G sleja).</t>
  </si>
  <si>
    <t>NEB-uri relevante: Vă rugăm să parcurgeți lista de NEB-uri împreună cu indicatorii sugerați și să selectați-i pe cei relevanți pentru EEM cu un "X" (coloana G).</t>
  </si>
  <si>
    <t>Identification_Importance</t>
  </si>
  <si>
    <t>#2: Importance</t>
  </si>
  <si>
    <t>#2: Bedeutung</t>
  </si>
  <si>
    <t>#2: Importanza</t>
  </si>
  <si>
    <t>#2: Importancia</t>
  </si>
  <si>
    <t># 2: Σημασία</t>
  </si>
  <si>
    <t>#2 : Importance</t>
  </si>
  <si>
    <t># 2: Nozīme</t>
  </si>
  <si>
    <t>#2: Importanța</t>
  </si>
  <si>
    <t>Identification_Importance_Text</t>
  </si>
  <si>
    <t>Strategic importance: Evaluate their importance to strategy by the appropriate selection (column H).</t>
  </si>
  <si>
    <t>Strategische Bedeutung: Bewerten Sie deren strategische Bedeutung durch die entsprechende Auswahl (Spalte H).</t>
  </si>
  <si>
    <t>Importanza strategica: Valutare la loro importanza strategica con la scelta più appropriata (colonna H).</t>
  </si>
  <si>
    <t>Importancia estratégica: Evalúe su importancia para la estrategia mediante la selección adecuada (columna H).</t>
  </si>
  <si>
    <t>Στρατηγική σημασία: Αξιολογήστε τη σημασία τους στη στρατηγική με την κατάλληλη επιλογή (στήλη H).</t>
  </si>
  <si>
    <t>Importance stratégique : Évaluez leur importance pour la stratégie en sélectionnant la case appropriée (colonne H).</t>
  </si>
  <si>
    <t>Stratēģiskā nozīme: novērtējiet to nozīmi stratēģijai, veicot atbilstošu atlasi (H sleja).</t>
  </si>
  <si>
    <t>Importanță strategică: Evaluați importanța acestora pentru strategie prin selecția corespunzătoare (coloana H).</t>
  </si>
  <si>
    <t>Identification_Analysis</t>
  </si>
  <si>
    <t>#3: Analysis</t>
  </si>
  <si>
    <t>#3: Analyse</t>
  </si>
  <si>
    <t>#3: Analisi</t>
  </si>
  <si>
    <t>#3: Análisis</t>
  </si>
  <si>
    <t># 3: Ανάλυση</t>
  </si>
  <si>
    <t>#3 : Analyse</t>
  </si>
  <si>
    <t xml:space="preserve"># 3: analīze </t>
  </si>
  <si>
    <t>#3: Analiza</t>
  </si>
  <si>
    <t>Identification_Analysis_Text</t>
  </si>
  <si>
    <t>Strategic analysis: Start with the highest ranked NEBs and classify their contribution to the strategy according to cost decrease, value propostion increase and risk reduction for your EEM (put an "X" accordingly, maximum of 5 per category, columns I to K).</t>
  </si>
  <si>
    <t xml:space="preserve">Strategische Analyse: Beginnen Sie mit den am höchsten eingestuften NEBs und klassifizieren Sie deren strategischen Beitrag für Ihre EEM nach der Erhöhung des Nutzenversprechens (value proposition), der Kostensenkung und der Risikominderung (setzen Sie entsprechend ein "X", maximal 5 pro Kategorie, Spalten I bis K).
</t>
  </si>
  <si>
    <t>Analisi strategica: Iniziare con i NEB con il punteggio più alto e classificare il loro contributo strategico in base alla diminuzione dei costi, all'aumento di valore e alla riduzione del rischio per la vostra EEM (barrare con una "X", massimo 5 per categoria, colonne da I a K).</t>
  </si>
  <si>
    <t>Análisis estratégico: Comience con los BNE mejor clasificados y clasifique su contribución a la estrategia según la disminución de costes, el aumento de la propuesta de valor y la reducción de riesgos para su MAE (marque con una "X" lo que corresponda, un máximo de 5 por categoría, columnas I a K).</t>
  </si>
  <si>
    <t>Στρατηγική ανάλυση: Ξεκινήστε με τα υψηλότερα NEBs και ταξινομήστε τη συμβολή τους στη στρατηγική ανάλογα με τη μείωση του κόστους, την αύξηση της πρότασης αξίας και τη μείωση του κινδύνου για το EEM σας (βάλτε ένα "X" αντίστοιχα, μέγιστο 5 ανά κατηγορία, στήλες I έως K).</t>
  </si>
  <si>
    <t>Analyse stratégique : Commencez par les BNE les mieux classés et classez leur contribution à la stratégie en fonction de la réduction des coûts, de l'augmentation de la proposition de valeur et de la réduction des risques pour votre MEE (mettez un "X" en conséquence, maximum de 5 par catégorie, colonnes I à K).</t>
  </si>
  <si>
    <t>Stratēģiskā analīze: Sāciet ar visaugstāk novērtētajiem ne enerģijas ieguvumiem un klasificējiet viņu ieguldījumu stratēģijā atbilstoši izmaksu samazinājumam, vērtības pieaugumam un riska samazinājumam jūsu EE pasākumam (attiecīgi ievietojiet "X", maksimāli 5 katrai kategorijai, I līdz K kolonnas).</t>
  </si>
  <si>
    <t>Analiză strategică: Începeți cu cele mai bine clasate NEB-uri și clasificați contribuția lor la strategie în funcție de scăderea costurilor, creșterea propoziției valorii și reducerea riscului pentru EEM (puneți un "X" în consecință, maxim 5 pe categorie, coloanele I la K).</t>
  </si>
  <si>
    <t>Identification_Analysis_Costs</t>
  </si>
  <si>
    <t xml:space="preserve">Costs: </t>
  </si>
  <si>
    <t>Kosten:</t>
  </si>
  <si>
    <t>Costi:</t>
  </si>
  <si>
    <t xml:space="preserve">Costes: </t>
  </si>
  <si>
    <t>Κόστη:</t>
  </si>
  <si>
    <t xml:space="preserve">Coûts : </t>
  </si>
  <si>
    <t>Izmaksas:</t>
  </si>
  <si>
    <t xml:space="preserve">Costuri: </t>
  </si>
  <si>
    <t>Identification_Analysis_Costs_Text</t>
  </si>
  <si>
    <t>Monetary savings from the introduction of the EEM. EEMs can reduce costs in a company, well beyond the energy costs.</t>
  </si>
  <si>
    <t xml:space="preserve">Monetäre Einsparungen durch die Umsetzung von EEMs. EEMs können die Kosten eines Unternehmens weit über die Energiekosten hinaus senken.
</t>
  </si>
  <si>
    <t>Risparmi monetari derivanti dall'introduzione della EEM. Le EEM possono ridurre i costi in un'azienda, ben oltre i costi dell'energia.</t>
  </si>
  <si>
    <t>Ahorro monetario derivado de la introducción de la MAE. Las MAEs pueden reducir los costes de una empresa, mucho más allá de los costes energéticos.</t>
  </si>
  <si>
    <t>Εξοικονόμηση χρημάτων από την εισαγωγή του EEM. Τα EEM μπορούν να μειώσουν το κόστος σε μια εταιρεία, πολύ πέρα από το ενεργειακό κόστος.</t>
  </si>
  <si>
    <t>Économies monétaires résultant de l'introduction de la MEE. Les MEE peuvent réduire les coûts d'une entreprise, bien au-delà des coûts énergétiques.</t>
  </si>
  <si>
    <t>Monetārie ietaupījumi no EE pasākumu ieviešanas. EE pasākumi var samazināt uzņēmuma izmaksas, ievērojami pārsniedzot enerģijas izmaksas.</t>
  </si>
  <si>
    <t>Economii monetare din introducerea EEM. EEM-urile pot reduce costurile într-o companie, cu mult dincolo de costurile cu energia.</t>
  </si>
  <si>
    <t>Identification_Analysis_Value</t>
  </si>
  <si>
    <t xml:space="preserve">Value proposition:  </t>
  </si>
  <si>
    <t>Nutzen-
versprechen:</t>
  </si>
  <si>
    <t>Proposta di valore:</t>
  </si>
  <si>
    <t xml:space="preserve">Propuesta de valor:  </t>
  </si>
  <si>
    <t>Πρόταση αξίας:</t>
  </si>
  <si>
    <t xml:space="preserve">Proposition de valeur :  </t>
  </si>
  <si>
    <t>Vērtību piedāvājums:</t>
  </si>
  <si>
    <t>Propunere de valoare:</t>
  </si>
  <si>
    <t>Identification_Analysis_Value_Text</t>
  </si>
  <si>
    <t>Non-monetary value added from the EEM for the customer or employees. Increased value translates in additional income. E.g. customers want to buy more of the high-quality products.</t>
  </si>
  <si>
    <t xml:space="preserve">(engl. value propostion) Nicht-monetäre Wertschöpfung aus einer EEM für Kunden oder Mitarbeiter. Die Wertsteigerung schlägt sich in zusätzlichen Einnahmen nieder. Z.B. wollen die Kunden mehr hochwertige Produkte kaufen.
</t>
  </si>
  <si>
    <t>Valore non monetario aggiunto dalla EEM per il cliente o i dipendenti. L'aumento del valore si traduce in un guadagno ulteriore. Per esempio, i clienti desiderano comprare più prodotti di alta qualità.</t>
  </si>
  <si>
    <t>Valor añadido no monetario de la MAE para el cliente o los empleados. El aumento de valor se traduce en ingresos adicionales. Por ejemplo, los clientes quieren comprar más productos de alta calidad.</t>
  </si>
  <si>
    <t>Μη χρηματική προστιθέμενη αξία από το EEM για τον πελάτη ή τους υπαλλήλους. Η αυξημένη αξία μεταφράζεται σε πρόσθετο εισόδημα. Π.χ. οι πελάτες θέλουν να αγοράσουν περισσότερα από τα προϊόντα υψηλής ποιότητας.</t>
  </si>
  <si>
    <t>Valeur ajoutée non monétaire de l'EEM pour le client ou les employés. L'augmentation de la valeur se traduit par des revenus supplémentaires. Par exemple, les clients veulent acheter davantage de produits de haute qualité.</t>
  </si>
  <si>
    <t>EE pasākumu nemonetārā vērtība klientam vai darbiniekiem. Palielināta vērtība nozīmē papildu ienākumus. Piem., klienti vēlas iegādāties vairāk augstas kvalitātes produktu.</t>
  </si>
  <si>
    <t>Valoare adăugată nemonetară din EEM pentru client sau angajați. Creșterea valorii se traduce în venituri suplimentare. De exemplu, clienții doresc să cumpere mai multe produse de înaltă calitate.</t>
  </si>
  <si>
    <t>Identification_Analysis_Risks</t>
  </si>
  <si>
    <t xml:space="preserve">Risks: </t>
  </si>
  <si>
    <t>Risiken:</t>
  </si>
  <si>
    <t>Rischi:</t>
  </si>
  <si>
    <t xml:space="preserve">Riesgos: </t>
  </si>
  <si>
    <t>Κίνδυνοι:</t>
  </si>
  <si>
    <t xml:space="preserve">Risques : </t>
  </si>
  <si>
    <t>Riski:</t>
  </si>
  <si>
    <t xml:space="preserve">Riscuri: </t>
  </si>
  <si>
    <t>Identification_Analysis_Risks_Text</t>
  </si>
  <si>
    <t xml:space="preserve">EEMs can entail a reduction of important risks translating in value proposition increase and cost decrease. E.g. reduced risk of staff illness or production </t>
  </si>
  <si>
    <t xml:space="preserve">EEMs können wichtige Risiken verringern, was zu einem erhöhten  Wertangebot und geringeren Kosten führt. Z.B. vermindertes Risiko von erkrankten Mitarbeitern oder Produktionsproblemen.
</t>
  </si>
  <si>
    <t>Le EEM possono comportare un'importante riduzione dei rischi che si traduce in un aumento della proposta di valore e in una diminuzione dei costi. Per esempio, riduzione del rischio di malattia del personale o della produzione.</t>
  </si>
  <si>
    <t xml:space="preserve">Las MAEs pueden suponer una reducción de riesgos importantes que se traduce en un aumento de la propuesta de valor y una disminución de los costes. Por ejemplo, reducción del riesgo de enfermedad del personal o de la producción </t>
  </si>
  <si>
    <t>Τα EEM μπορούν να συνεπάγονται μείωση των σημαντικών κινδύνων που μεταφράζονται στην αύξηση της πρότασης αξίας και στη μείωση του κόστους. Π.χ. μειωμένος κίνδυνος ασθένειας ή παραγωγής του προσωπικού</t>
  </si>
  <si>
    <t xml:space="preserve">Les MEE peuvent entraîner une réduction des risques importants, ce qui se traduit par une augmentation de la proposition de valeur et une diminution des coûts. Par exemple, réduction du risque de maladie du personnel ou de production. </t>
  </si>
  <si>
    <t>EE pasākumi var ietvert svarīgu risku samazināšanos, kas izpaužas kā vērtības piedāvājuma pieaugums un izmaksu samazinājums. Piem., samazināts personāla slimības vai ražošanas risks</t>
  </si>
  <si>
    <t>EEM pot implica o reducere a riscurilor importante care se traduc în creșterea și scăderea costurilor. De exemplu, risc redus de boală sau de producție a personalului</t>
  </si>
  <si>
    <t>Identification_Area</t>
  </si>
  <si>
    <t>Area and non-energy benefit</t>
  </si>
  <si>
    <t>Bereich und nicht-energetischer Vorteil</t>
  </si>
  <si>
    <t>Area e benefici non energetici</t>
  </si>
  <si>
    <t>Área y beneficio no energético</t>
  </si>
  <si>
    <t>Περιοχή και μη ενεργειακό όφελος</t>
  </si>
  <si>
    <t>Domaine et avantage non énergétique</t>
  </si>
  <si>
    <t>Platības un neenerģētiskais ieguvums</t>
  </si>
  <si>
    <t>Beneficiu zonal și non-energetic</t>
  </si>
  <si>
    <t>Identification_Sample</t>
  </si>
  <si>
    <t>Sample indicators</t>
  </si>
  <si>
    <t>Vorschläge für Indikatoren</t>
  </si>
  <si>
    <t>Esempi di indicatori</t>
  </si>
  <si>
    <t>Ejemplos de indicadores</t>
  </si>
  <si>
    <t>Δείγματα δείκτες</t>
  </si>
  <si>
    <t>Exemples d'indicateurs</t>
  </si>
  <si>
    <t>Indikatoru piemēri</t>
  </si>
  <si>
    <t>Indicatori eșantion</t>
  </si>
  <si>
    <t>Identification_Step1</t>
  </si>
  <si>
    <t>Step #1: 
Relevance</t>
  </si>
  <si>
    <t>Schritt #1: 
Relevanz</t>
  </si>
  <si>
    <t>Step #1:
Rilevanza</t>
  </si>
  <si>
    <t>Paso 1: _x000D_
Relevancia</t>
  </si>
  <si>
    <t xml:space="preserve">Βήμα#1:                                                                                                              Σχετικότητα                                                                                                                                     </t>
  </si>
  <si>
    <t xml:space="preserve">Étape 1 : _x000D_
Pertinence_x000D_
Étape n° 2 : </t>
  </si>
  <si>
    <t xml:space="preserve">1. solis:
Atbilstība </t>
  </si>
  <si>
    <t>Pas #1: 
Relevanța</t>
  </si>
  <si>
    <t>Identification_Step2</t>
  </si>
  <si>
    <t>Step #2: 
Importance</t>
  </si>
  <si>
    <t>Schritt #2: 
Bedeutung</t>
  </si>
  <si>
    <t>Step #2:
Importanza</t>
  </si>
  <si>
    <t>Paso #2: _x000D_
Importancia</t>
  </si>
  <si>
    <t xml:space="preserve">Βήμα#2:                                                                                                                   Σημασία                                                                                                                                    </t>
  </si>
  <si>
    <t>Importance</t>
  </si>
  <si>
    <t>"2. solis:
Svarīgums "</t>
  </si>
  <si>
    <t>Pas #2: 
Importanța</t>
  </si>
  <si>
    <t>Identification_Step3</t>
  </si>
  <si>
    <t>Step #3: 
Strategic analysis</t>
  </si>
  <si>
    <t>Schritt #3: 
Strategische Analyse</t>
  </si>
  <si>
    <t>Step #3:
Analisi strategica</t>
  </si>
  <si>
    <t>Paso #3: _x000D_
Análisis estratégico</t>
  </si>
  <si>
    <t>Βήμα#3:                                                                                                                Στρατηγική ανάλυση</t>
  </si>
  <si>
    <t xml:space="preserve">Étape 3 : _x000D_
Analyse stratégique </t>
  </si>
  <si>
    <t>"3. solis:
Stratēģiskā analīze "</t>
  </si>
  <si>
    <t>Pas #3: 
Analiza strategică</t>
  </si>
  <si>
    <t>Identification_Warning</t>
  </si>
  <si>
    <t>Please only select up to five NEBs per category</t>
  </si>
  <si>
    <t>Bitte wählen Sie nur bis zu fünf NEBs pro Kategorie</t>
  </si>
  <si>
    <t>Si prega di selezionare solo fino a cinque NEB per categoria</t>
  </si>
  <si>
    <t>Por favor, seleccione sólo un máximo de cinco BNEs por categoría</t>
  </si>
  <si>
    <t>Παρακαλώ επιλέξτε μόνο 5 NEBs ανά κατηγορία</t>
  </si>
  <si>
    <t>Veuillez ne sélectionner qu'un maximum de cinq BNE par catégorie</t>
  </si>
  <si>
    <t>Lūdzu, katrā kategorijā atlasiet tikai piecus neergētikas ieguvumus</t>
  </si>
  <si>
    <t>Vă rugăm selectați doar până la cinci NEBs per categorie</t>
  </si>
  <si>
    <t>Identification_Area1</t>
  </si>
  <si>
    <t>Area: Production &amp; products</t>
  </si>
  <si>
    <t>Bereich: Produktion &amp; Produkte</t>
  </si>
  <si>
    <t>Area: Produzione e prodotti</t>
  </si>
  <si>
    <t>Área: Producción y productos</t>
  </si>
  <si>
    <t>Περιοχή: Παραγωγή και προίοντα</t>
  </si>
  <si>
    <t>Domaine : Production et produits</t>
  </si>
  <si>
    <t>Joma: Ražošana un produkti</t>
  </si>
  <si>
    <t>Zona: Producție &amp; produse</t>
  </si>
  <si>
    <t>Identification_maximum</t>
  </si>
  <si>
    <t>(maximum of 5 per category)</t>
  </si>
  <si>
    <t>(maximal 5 pro Kategorie)</t>
  </si>
  <si>
    <t>(massimo 5 per categoria)</t>
  </si>
  <si>
    <t>(máximo de 5 por categoría)</t>
  </si>
  <si>
    <t>(μέγιστο 5 ανά κατηγορία)</t>
  </si>
  <si>
    <t>(maximum de 5 par catégorie)</t>
  </si>
  <si>
    <t>(maksimums 5 katrā kategorijā)</t>
  </si>
  <si>
    <t>(maximum 5 per categorie)</t>
  </si>
  <si>
    <t>Identification_Area1_Text1</t>
  </si>
  <si>
    <t xml:space="preserve">Reduced malfunction or breakdown of machinery and equipment </t>
  </si>
  <si>
    <t xml:space="preserve">Reduzierte Fehlfunktion oder Ausfall von Maschinen und Anlagen </t>
  </si>
  <si>
    <t>Riduzione di malfunzionamenti o guasti di macchinari e attrezzature</t>
  </si>
  <si>
    <t xml:space="preserve">Reducción del mal funcionamiento o las averías de la maquinaria y los equipos </t>
  </si>
  <si>
    <t>Μειωμένη δυσλειτουργία ή βλάβη μηχανημάτων και εξοπλισμού</t>
  </si>
  <si>
    <t xml:space="preserve">Réduction des dysfonctionnements ou des pannes des machines et des équipements </t>
  </si>
  <si>
    <t>Samazināts mašīnu un iekārtu darbības traucējums vai bojājums</t>
  </si>
  <si>
    <t>Reducere funcționare defectuoasă sau defecțiuni ale mașinilor și echipamentelor</t>
  </si>
  <si>
    <t>Identification_Area1_Text2</t>
  </si>
  <si>
    <t>Improved equipment performance</t>
  </si>
  <si>
    <t>Verbesserte Anlagenleistung</t>
  </si>
  <si>
    <t>Miglioramento delle prestazioni delle attrezzature</t>
  </si>
  <si>
    <t>Mejora del rendimiento de los equipos</t>
  </si>
  <si>
    <t>Βελτιωμένη απόδοση εξοπλισμού</t>
  </si>
  <si>
    <t>Amélioration des performances des équipements</t>
  </si>
  <si>
    <t>Uzlabota aprīkojuma veiktspēja</t>
  </si>
  <si>
    <t>Performanță îmbunătățită a echipamentului</t>
  </si>
  <si>
    <t>Identification_Area1_Text3</t>
  </si>
  <si>
    <t>Longer equipment life (due to reduced wear and tear)</t>
  </si>
  <si>
    <t>Längere Lebensdauer der Geräte (durch geringeren Verschleiß)</t>
  </si>
  <si>
    <t>Maggiore durata delle attrezzature (grazie alla ridotta usura)</t>
  </si>
  <si>
    <t>Mayor vida útil de los equipos (debido a la reducción del desgaste)</t>
  </si>
  <si>
    <t>Μεγαλύτερη διάρκεια ζωής του εξοπλισμού (λόγω μειωμένης φθοράς)</t>
  </si>
  <si>
    <t>Durée de vie plus longue des équipements (en raison de la réduction de l'usure)</t>
  </si>
  <si>
    <t xml:space="preserve">Ilgāks aprīkojuma kalpošanas laiks (samazināta nodiluma dēļ) </t>
  </si>
  <si>
    <t>Durată de viață mai lungă a echipamentului (datorită uzurii reduse)</t>
  </si>
  <si>
    <t>Identification_Area1_Text4</t>
  </si>
  <si>
    <t>Improved product quality /consistency</t>
  </si>
  <si>
    <t xml:space="preserve">Verbesserte Produktqualität / -konsistenz
</t>
  </si>
  <si>
    <t>Migliore qualità/conformità del prodotto</t>
  </si>
  <si>
    <t>Mejora de la calidad/consistencia del producto</t>
  </si>
  <si>
    <t>Βελτιωμένη ποιότητα / συνέπεια προϊόντος</t>
  </si>
  <si>
    <t>Amélioration de la qualité/cohérence des produits</t>
  </si>
  <si>
    <t>Uzlabota produkta kvalitāte / konsistence</t>
  </si>
  <si>
    <t>Îmbunătățirea calității/consistenței produsului</t>
  </si>
  <si>
    <t>Identification_Area1_Text5</t>
  </si>
  <si>
    <t>Increased production reliability (due to better control)</t>
  </si>
  <si>
    <t>Erhöhte Produktionssicherheit (durch bessere Kontrolle)</t>
  </si>
  <si>
    <t>Maggiore affidabilità della produzione (grazie a un migliore controllo)</t>
  </si>
  <si>
    <t>Mayor fiabilidad de la producción (gracias a un mejor control)</t>
  </si>
  <si>
    <t>Αυξημένη αξιοπιστία παραγωγής (λόγω καλύτερου ελέγχου)</t>
  </si>
  <si>
    <t>Fiabilité accrue de la production (grâce à un meilleur contrôle)</t>
  </si>
  <si>
    <t xml:space="preserve">Paaugstināta ražošanas uzticamība (labākas kontroles dēļ) </t>
  </si>
  <si>
    <t>Fiabilitate sporită a producției (datorită unui control mai bun)</t>
  </si>
  <si>
    <t>Identification_Area1_Text6</t>
  </si>
  <si>
    <t>Larger product range</t>
  </si>
  <si>
    <t>Größere Produktpalette</t>
  </si>
  <si>
    <t>Gamma più ampia di prodotti</t>
  </si>
  <si>
    <t>Mayor gama de productos</t>
  </si>
  <si>
    <t>Μεγαλύτερη ποικιλία προιόντων</t>
  </si>
  <si>
    <t>Gamme de produits plus large</t>
  </si>
  <si>
    <t>Lielāks produktu klāsts</t>
  </si>
  <si>
    <t>Gamă mai largă de produse</t>
  </si>
  <si>
    <t>Identification_Area1_Text7</t>
  </si>
  <si>
    <t>Reduced customer service costs (due to better quality)</t>
  </si>
  <si>
    <t>Reduzierte Kosten für den Kundenservice (durch bessere Qualität)</t>
  </si>
  <si>
    <t>Riduzione dei costi del servizio consumatori (grazie alla migliore qualità)</t>
  </si>
  <si>
    <t>Reducción de los costes de servicio al cliente (debido a la mejor calidad)</t>
  </si>
  <si>
    <t>Μειωμένο κόστος εξυπηρέτησης πελατών (λόγω καλύτερης ποιότητας)</t>
  </si>
  <si>
    <t>Réduction des coûts de service à la clientèle (grâce à une meilleure qualité)</t>
  </si>
  <si>
    <t>Samazinātas klientu apkalpošanas izmaksas (labākas kvalitātes dēļ)</t>
  </si>
  <si>
    <t>Costuri reduse de servicii pentru clienți (datorită calității mai bune)</t>
  </si>
  <si>
    <t>Identification_Area1_Text8</t>
  </si>
  <si>
    <t>Improved flexibility of production</t>
  </si>
  <si>
    <t>Verbesserte Flexibilität der Produktion</t>
  </si>
  <si>
    <t>Maggiore flessibilità di produzione</t>
  </si>
  <si>
    <t>Mayor flexibilidad de la producción</t>
  </si>
  <si>
    <t>Βελτιωμένη ευελιξία παραγωγής</t>
  </si>
  <si>
    <t>Amélioration de la flexibilité de la production</t>
  </si>
  <si>
    <t>Uzlabota ražošanas elastība</t>
  </si>
  <si>
    <t>Flexibilitate îmbunătățită a producției</t>
  </si>
  <si>
    <t>Identification_Area1_Text9</t>
  </si>
  <si>
    <t>Reduced raw material need</t>
  </si>
  <si>
    <t>Reduzierter Rohstoffbedarf</t>
  </si>
  <si>
    <t>Ridotta necessità di materie prime</t>
  </si>
  <si>
    <t>Reducción de la necesidad de materia prima</t>
  </si>
  <si>
    <t>Μειωμένη ανάγκη πρώτων υλών</t>
  </si>
  <si>
    <t>Réduction des besoins en matières premières</t>
  </si>
  <si>
    <t>Samazināta izejvielu vajadzība</t>
  </si>
  <si>
    <t>Reducerea necesarului de materie primă</t>
  </si>
  <si>
    <t>Identification_Area1_Text10</t>
  </si>
  <si>
    <t>Reduced consumables</t>
  </si>
  <si>
    <t>Reduzierte Verbrauchsmaterialien</t>
  </si>
  <si>
    <t>Riduzione dei materiali di consumo</t>
  </si>
  <si>
    <t>Reducción de los consumibles</t>
  </si>
  <si>
    <t>Μειωμένα αναλώσιμα</t>
  </si>
  <si>
    <t>Réduction des consommables</t>
  </si>
  <si>
    <t>Samazināts palīgmateriālu daudzums</t>
  </si>
  <si>
    <t>Reducerea consumabilelor</t>
  </si>
  <si>
    <t>Identification_Area1_Text11</t>
  </si>
  <si>
    <t>Shorter production cycle (shorter process cycle time)</t>
  </si>
  <si>
    <t>Kürzerer Produktionszyklus (kürzere Prozesszykluszeit)</t>
  </si>
  <si>
    <t>Ciclo di produzione più breve (minor tempo di lavorazione)</t>
  </si>
  <si>
    <t>Ciclo de producción más corto (tiempo de ciclo de proceso más corto)</t>
  </si>
  <si>
    <t>Μικρότερος κύκλος παραγωγής (μικρότερος χρόνος κύκλου διαδικασίας)</t>
  </si>
  <si>
    <t>Cycle de production plus court (temps de cycle du processus plus court)</t>
  </si>
  <si>
    <t>Īsāks ražošanas cikls (īsāks procesa cikla laiks)</t>
  </si>
  <si>
    <t>Ciclu de producție mai scurt (timp mai scurt al ciclului de proces)</t>
  </si>
  <si>
    <t>Identification_Area1_Text12</t>
  </si>
  <si>
    <t>Increased production volume</t>
  </si>
  <si>
    <t>Erhöhtes Produktionsvolumen</t>
  </si>
  <si>
    <t>Aumento del volume di produzione</t>
  </si>
  <si>
    <t>Aumento del volumen de producción</t>
  </si>
  <si>
    <t>Αυξημένος όγκος παραγωγής</t>
  </si>
  <si>
    <t>Augmentation du volume de production</t>
  </si>
  <si>
    <t>Palielināts ražošanas apjoms</t>
  </si>
  <si>
    <t>Volum al producției mărit</t>
  </si>
  <si>
    <t>Identification_Area1_Text13</t>
  </si>
  <si>
    <t>Increased production yields</t>
  </si>
  <si>
    <t>Erhöhte Produktionserträge</t>
  </si>
  <si>
    <t>Aumento dei rendimenti di produzione</t>
  </si>
  <si>
    <t>Mayor rendimiento de la producción</t>
  </si>
  <si>
    <t>Αυξημένες αποδόσεις παραγωγής</t>
  </si>
  <si>
    <t>Augmentation des rendements de production</t>
  </si>
  <si>
    <t>Palielināta ražošanas ražība</t>
  </si>
  <si>
    <t>Randament al producției mărit</t>
  </si>
  <si>
    <t>Identification_Sample1_Text1</t>
  </si>
  <si>
    <t>Number of breakdowns/defects</t>
  </si>
  <si>
    <t>Anzahl der Ausfälle/Fehler</t>
  </si>
  <si>
    <t>Numero di guasti/difetti</t>
  </si>
  <si>
    <t>Número de averías/defectos</t>
  </si>
  <si>
    <t>Αριθμός βλαβών / ελαττωμάτων</t>
  </si>
  <si>
    <t>Nombre de pannes/défauts</t>
  </si>
  <si>
    <t>Sadalījumu / defektu skaits</t>
  </si>
  <si>
    <t>Numărul de defecțiuni/defecte</t>
  </si>
  <si>
    <t>Identification_Sample1_Text2</t>
  </si>
  <si>
    <t>Percent default pieces/pieces produced</t>
  </si>
  <si>
    <t>% Standardstücke/Stücke produziert</t>
  </si>
  <si>
    <t>Percentuale pezzi difettosi/pezzi prodotti</t>
  </si>
  <si>
    <t>Porcentaje de piezas defectuosas/piezas producidas</t>
  </si>
  <si>
    <t>Ποσοστό προεπιλεγμένων τεμαχίων / τεμαχίων που παράγονται</t>
  </si>
  <si>
    <t>Pourcentage de pièces défectueuses/pièces produites</t>
  </si>
  <si>
    <t xml:space="preserve">Saražoto noklusējuma gabalu procentuālais daudzums </t>
  </si>
  <si>
    <t>Procent de piese/piese implicite produse</t>
  </si>
  <si>
    <t>Identification_Sample1_Text3</t>
  </si>
  <si>
    <t xml:space="preserve">Cost of equipment - spending delayed </t>
  </si>
  <si>
    <t xml:space="preserve">Ausrüstungskosten - verzögerte Ausgaben </t>
  </si>
  <si>
    <t>Costo delle attrezzature - ritardo nella produzione</t>
  </si>
  <si>
    <t xml:space="preserve">Coste del equipo - gasto retrasado </t>
  </si>
  <si>
    <t>Κόστος εξοπλισμού - καθυστέρηση δαπανών</t>
  </si>
  <si>
    <t xml:space="preserve">Coût de l'équipement - dépenses retardées </t>
  </si>
  <si>
    <t>Aprīkojuma izmaksas - tēriņi samazināti</t>
  </si>
  <si>
    <t>Costul echipamentului - cheltuieli întârziate</t>
  </si>
  <si>
    <t>Identification_Sample1_Text4</t>
  </si>
  <si>
    <t>Reduction of production losses - redo</t>
  </si>
  <si>
    <t>Reduzierung von Produktionsausfällen - Redo</t>
  </si>
  <si>
    <t>Riduzione delle perdite di produzione - rifacimento</t>
  </si>
  <si>
    <t>Reducción de las pérdidas de producción - rehacer</t>
  </si>
  <si>
    <t>Μείωση των απωλειών παραγωγής - επανάληψη</t>
  </si>
  <si>
    <t>Réduction des pertes de production - refaire</t>
  </si>
  <si>
    <t>Ražošanas zaudējumu samazināšana</t>
  </si>
  <si>
    <t>Reducerea pierderilor de producție - refacere</t>
  </si>
  <si>
    <t>Identification_Sample1_Text5</t>
  </si>
  <si>
    <t>Percent of conformity to specifications/total of pieces produced</t>
  </si>
  <si>
    <t xml:space="preserve">Prozentualer Anteil der Konformität mit den Spezifikationen/Gesamtheit der produzierten Teile
</t>
  </si>
  <si>
    <t>Percentuale di conformità specifiche/totale di pezzi prodotti</t>
  </si>
  <si>
    <t>Porcentaje de conformidad con las especificaciones/total de piezas producidas</t>
  </si>
  <si>
    <t>Ποσοστό συμμόρφωσης προς τις προδιαγραφές / σύνολο παραχθέντων τεμαχίων</t>
  </si>
  <si>
    <t>Pourcentage de conformité aux spécifications/total des pièces produites</t>
  </si>
  <si>
    <t>Procentuālā atbilstība specifikācijām / saražoto gabalu kopskaits</t>
  </si>
  <si>
    <t>Procentul de conformitate cu specificațiile/totalul pieselor produse</t>
  </si>
  <si>
    <t>Identification_Sample1_Text6</t>
  </si>
  <si>
    <t>Number of additional products</t>
  </si>
  <si>
    <t>Anzahl zusätzlicher Produkte</t>
  </si>
  <si>
    <t>Numero di prodotti aggiuntivi</t>
  </si>
  <si>
    <t>Número de productos adicionales</t>
  </si>
  <si>
    <t>Αριθμός πρόσθετων προϊόντων</t>
  </si>
  <si>
    <t>Nombre de produits supplémentaires</t>
  </si>
  <si>
    <t>Papildu produktu skaits</t>
  </si>
  <si>
    <t>Număr produse adiționale</t>
  </si>
  <si>
    <t>Identification_Sample1_Text7</t>
  </si>
  <si>
    <t>Number of product recalls * cost of product recall</t>
  </si>
  <si>
    <t>Anzahl der Produktrückrufe * Kosten für den Produktrückruf</t>
  </si>
  <si>
    <t>Numero di richiami di prodotto * costo del richiamo del prodotto</t>
  </si>
  <si>
    <t>Número de retiradas de productos * coste de la retirada de productos</t>
  </si>
  <si>
    <t>Αριθμός ανακλήσεων προϊόντος * κόστος ανάκλησης προϊόντος</t>
  </si>
  <si>
    <t>Nombre de rappels de produits * coût du rappel de produits</t>
  </si>
  <si>
    <t xml:space="preserve">Produktu atsaukšanas reižu skaits * produkta atsaukšanas izmaksas </t>
  </si>
  <si>
    <t>Numărul de rechemări de produse * costul rechemării produsului</t>
  </si>
  <si>
    <t>Identification_Sample1_Text8</t>
  </si>
  <si>
    <t>Time-to-market - throughput time</t>
  </si>
  <si>
    <t>Time-to-Market - Durchlaufzeit</t>
  </si>
  <si>
    <t>Time-to-market - tempo di produzione</t>
  </si>
  <si>
    <t>Tiempo de comercialización - tiempo de producción</t>
  </si>
  <si>
    <t>Time-to-market - χρόνος απόδοσης</t>
  </si>
  <si>
    <t>Délai de mise sur le marché - temps de passage</t>
  </si>
  <si>
    <t>Laiks līdz tirgum - caurlaides laiks</t>
  </si>
  <si>
    <t>Timpul de vânzare - timpul de transfer</t>
  </si>
  <si>
    <t>Identification_Sample1_Text9</t>
  </si>
  <si>
    <t>Percent of raw materials of production volume
(in t/y) * costs of material (in EUR/t)</t>
  </si>
  <si>
    <t>Anteil Rohstoffe am Produktionsvolumen
(in t/Jahr) * Materialkosten (in EUR/t)</t>
  </si>
  <si>
    <t>Percentuale di materie prime del volume di produzione
(in t/a) * costi del materiale (in Euro/t)</t>
  </si>
  <si>
    <t>Porcentaje de materias primas del volumen de producción_x000D_
(en t/a) * costes de material (en EUR/t)</t>
  </si>
  <si>
    <t>Ποσοστό πρώτων υλών όγκου παραγωγής                                                                                        (σε τν / χρόνο) * κόστος υλικού (σε EUR / τν)</t>
  </si>
  <si>
    <t xml:space="preserve"> Pourcentage de matières premières du volume de production_x000D_
(en t/an) * coût des matières (en EUR/t) </t>
  </si>
  <si>
    <t>Izejvielu procentuālā daļa no ražošanas apjoma</t>
  </si>
  <si>
    <t>Procent de materii prime din volumul producției (t/an) * costuri materiale (în EUR/t)</t>
  </si>
  <si>
    <t>Identification_Sample1_Text10</t>
  </si>
  <si>
    <t>(n/y) * price (Euro/product)</t>
  </si>
  <si>
    <t>(Anzahl/Jahr) * Preis (Euro/Produkt)</t>
  </si>
  <si>
    <t>(n/a) * prezzo (Euro/prodotto)</t>
  </si>
  <si>
    <t>(n/a) * precio (Euro/producto)</t>
  </si>
  <si>
    <t>(n / χρόνο) * τιμή (Euro/ προϊόν)</t>
  </si>
  <si>
    <t>(n/an) * prix (Euro/produit)</t>
  </si>
  <si>
    <t>(n / g) * cena (EUR / produkts)</t>
  </si>
  <si>
    <t>(n/an) * preț (Euro/produs)</t>
  </si>
  <si>
    <t>Identification_Sample1_Text11</t>
  </si>
  <si>
    <t>Duration of production time</t>
  </si>
  <si>
    <t>Dauer der Produktionszeit</t>
  </si>
  <si>
    <t>Durata del tempo di produzione</t>
  </si>
  <si>
    <t>Duración del tiempo de producción</t>
  </si>
  <si>
    <t>Διάρκεια του χρόνου παραγωγής</t>
  </si>
  <si>
    <t>Durée de la production</t>
  </si>
  <si>
    <t>Ražošanas laiks</t>
  </si>
  <si>
    <t>Durata timpului de producție</t>
  </si>
  <si>
    <t>Identification_Sample1_Text12</t>
  </si>
  <si>
    <t>(n / χρόνο) * τιμή (Euroo/ προϊόν)</t>
  </si>
  <si>
    <t>Identification_Sample1_Text13</t>
  </si>
  <si>
    <t>Output total/input total</t>
  </si>
  <si>
    <t>Output gesamt/input gesamt</t>
  </si>
  <si>
    <t>Totale output/totale input</t>
  </si>
  <si>
    <t>Total de la producción/total de las entradas</t>
  </si>
  <si>
    <t>Σύνολο εισαγωγών/σύνολο εξαγωγών</t>
  </si>
  <si>
    <t>Total des sorties/total des entrées</t>
  </si>
  <si>
    <t>Kopējā izlaide / ievades kopsumma</t>
  </si>
  <si>
    <t>Total ieșire/total intrare</t>
  </si>
  <si>
    <t>Identification_Area2</t>
  </si>
  <si>
    <t>Area: Waste &amp; water</t>
  </si>
  <si>
    <t>Bereich: Abfall &amp; Wasser</t>
  </si>
  <si>
    <t>Area: Rifiuti e acqua</t>
  </si>
  <si>
    <t>Área: Residuos y agua</t>
  </si>
  <si>
    <t>Περιοχή:Απόβλητα  &amp; νερό</t>
  </si>
  <si>
    <t>Domaine : Déchets et eau</t>
  </si>
  <si>
    <t xml:space="preserve">Platība: notekūdeņi un ūdens </t>
  </si>
  <si>
    <t>Zona: Deșeu &amp; apă</t>
  </si>
  <si>
    <t>Identification_Area2_Text1</t>
  </si>
  <si>
    <t>Reduzierte Abwärme</t>
  </si>
  <si>
    <t>Riduzione del calore residuo</t>
  </si>
  <si>
    <t>Reducción del calor residual</t>
  </si>
  <si>
    <t>Μειωμένη θερμότητα αποβλήτων</t>
  </si>
  <si>
    <t>Réduction de la chaleur résiduelle</t>
  </si>
  <si>
    <t>Samazināti siltuma zudumi</t>
  </si>
  <si>
    <t>Reducere pierderi căldură</t>
  </si>
  <si>
    <t>Identification_Area2_Text2</t>
  </si>
  <si>
    <t>Re-use of waste heat</t>
  </si>
  <si>
    <t>Abwärmenutzung</t>
  </si>
  <si>
    <t>Riutilizzo del calore disperso</t>
  </si>
  <si>
    <t>Reutilización del calor residual</t>
  </si>
  <si>
    <t>Επαναχρησιμοποίηση της σπατάλης θερμότητας</t>
  </si>
  <si>
    <t>Réutilisation de la chaleur résiduelle</t>
  </si>
  <si>
    <t>Siltuma atkārtota izmantošana</t>
  </si>
  <si>
    <t>Re-utilizare pierderi căldură</t>
  </si>
  <si>
    <t>Identification_Area2_Text3</t>
  </si>
  <si>
    <t>Reduced hazardous waste</t>
  </si>
  <si>
    <t>Reduzierter Sondermüll</t>
  </si>
  <si>
    <t>Riduzione dei rifiuti nocivi</t>
  </si>
  <si>
    <t>Reducción de residuos peligrosos</t>
  </si>
  <si>
    <t>Μειωμένα επικίνδυνα απόβλητα</t>
  </si>
  <si>
    <t>Réduction des déchets dangereux</t>
  </si>
  <si>
    <t>Samazināti bīstamie atkritumi</t>
  </si>
  <si>
    <t>Reducere deșeuri periculoase</t>
  </si>
  <si>
    <t>Identification_Area2_Text4</t>
  </si>
  <si>
    <t>Reduced water consumption</t>
  </si>
  <si>
    <t>Reduzierter Wasserverbrauch</t>
  </si>
  <si>
    <t>Riduzione del consumo di acqua</t>
  </si>
  <si>
    <t>Reducción del consumo de agua</t>
  </si>
  <si>
    <t>Μειωμένη κατανάλωση νερού</t>
  </si>
  <si>
    <t>Réduction de la consommation d'eau</t>
  </si>
  <si>
    <t>Samazināts ūdeņs patēriņš</t>
  </si>
  <si>
    <t>Reducere consum apă</t>
  </si>
  <si>
    <t>Identification_Area2_Text5</t>
  </si>
  <si>
    <t>Reduced sewage volume</t>
  </si>
  <si>
    <t>Reduziertes Abwasseraufkommen</t>
  </si>
  <si>
    <t>Riduzione del volume delle acque reflue</t>
  </si>
  <si>
    <t>Reducción del volumen de aguas residuales</t>
  </si>
  <si>
    <t>Μειωμένος όγκος λυμάτων</t>
  </si>
  <si>
    <t>Réduction du volume des eaux usées</t>
  </si>
  <si>
    <t>Samazināts notekūdeņu daudzums</t>
  </si>
  <si>
    <t>Reducere volum canalizare</t>
  </si>
  <si>
    <t>Identification_Area2_Text6</t>
  </si>
  <si>
    <t>Reduced sewage pollution level</t>
  </si>
  <si>
    <t>Reduzierte Abwasserbelastung</t>
  </si>
  <si>
    <t>Riduzione del livello di inquinamento delle acque reflue</t>
  </si>
  <si>
    <t>Reducción del nivel de contaminación de las aguas residuales</t>
  </si>
  <si>
    <t>Μειωμένο επίπεδο ρύπανσης λυμάτων</t>
  </si>
  <si>
    <t>Réduction du niveau de pollution des eaux usées</t>
  </si>
  <si>
    <t>Samazināts notekūdeņu piesārņojums</t>
  </si>
  <si>
    <t>Nivel redus de poluare a apelor uzate</t>
  </si>
  <si>
    <t>Identification_Area2_Text7</t>
  </si>
  <si>
    <t>Reduced product waste</t>
  </si>
  <si>
    <t>Reduzierte Produktverschwendung</t>
  </si>
  <si>
    <t>Riduzione degli scarti di lavorazione</t>
  </si>
  <si>
    <t>Reducción de los residuos de productos</t>
  </si>
  <si>
    <t>Μειωμένα απόβλητα προϊόντων</t>
  </si>
  <si>
    <t>Réduction des déchets de produits</t>
  </si>
  <si>
    <t>Samazināts atkritumu daudzums</t>
  </si>
  <si>
    <t>Reducere pierderi produs</t>
  </si>
  <si>
    <t>Identification_Area2_Text8</t>
  </si>
  <si>
    <t>Reduced other waste (e.g. non-hazardous consumables)</t>
  </si>
  <si>
    <t>Reduzierung anderer Abfälle (z.B. nicht gefährliche Verbrauchsmaterialien)</t>
  </si>
  <si>
    <t>Riduzione di altri rifiuti (per esempio, materiali di uso non nocivi)</t>
  </si>
  <si>
    <t>Reducción de otros residuos (por ejemplo, consumibles no peligrosos)</t>
  </si>
  <si>
    <t>Μειωμένα άλλα απόβλητα (π.χ. μη επικίνδυνα αναλώσιμα)</t>
  </si>
  <si>
    <t>Réduction des autres déchets (par exemple, les consommables non dangereux)</t>
  </si>
  <si>
    <t>Samazināti citi atkritumi</t>
  </si>
  <si>
    <t>Alte deșeuri reduse (de exemplu, consumabile nepericuloase)</t>
  </si>
  <si>
    <t>Identification_Sample2_Text1</t>
  </si>
  <si>
    <t>Quantity (total or as % of production)</t>
  </si>
  <si>
    <t>Menge (insgesamt oder in % der Produktion)</t>
  </si>
  <si>
    <t>Quantità (totale o in % della produzione)</t>
  </si>
  <si>
    <t>Cantidad (total o en % de la producción)</t>
  </si>
  <si>
    <t>Ποσότητα (συνολική ή ως ποσοστό της παραγωγής)</t>
  </si>
  <si>
    <t>Quantité (totale ou en % de la production)</t>
  </si>
  <si>
    <t>Daudzums (kopā vai % no ražošanas)</t>
  </si>
  <si>
    <t>Cantitate (total sau ca % din producție)</t>
  </si>
  <si>
    <t>Identification_Sample2_Text2</t>
  </si>
  <si>
    <t>Quantity (% of total waste heat)</t>
  </si>
  <si>
    <t>Menge (% der gesamten Abwärme)</t>
  </si>
  <si>
    <t>Quantità (% del totale dei rifiuti)</t>
  </si>
  <si>
    <t>Cantidad (en % del total de residuos)</t>
  </si>
  <si>
    <t>Ποσότητα (ποσοστό της συνολικής θερμότητας αποβλήτων)</t>
  </si>
  <si>
    <t>Quantité (% de la chaleur résiduelle totale)</t>
  </si>
  <si>
    <t>Daudzums (% no kopējiem siltuma zudumiem)</t>
  </si>
  <si>
    <t>Cantitate (% din total pierderi căldură)</t>
  </si>
  <si>
    <t>Identification_Sample2_Text3</t>
  </si>
  <si>
    <t>(kg/y) * disposal costs (Euro/kg)</t>
  </si>
  <si>
    <t>(kg/Jahr) * Entsorgungskosten (Euro/kg)</t>
  </si>
  <si>
    <t>(kg/a) * costi di smaltimento (Euroo/kg)</t>
  </si>
  <si>
    <t>(kg/a) * costes de eliminación (Euro/kg)</t>
  </si>
  <si>
    <t>(Kg / χρόνο) * κόστος διάθεσης (Euroo/ kg)</t>
  </si>
  <si>
    <t>(kg/an) * coûts d'élimination (Euro/kg)</t>
  </si>
  <si>
    <t xml:space="preserve">(kg / gadā) * apglabāšanas izmaksas (EUR / kg) </t>
  </si>
  <si>
    <t>(kg/an) * costuri eliminare (Euro/kg)</t>
  </si>
  <si>
    <t>Identification_Sample2_Text4</t>
  </si>
  <si>
    <t>Water - production volume (or in % of turnover)
(m3/y) * costs of water (in EUR/m3)</t>
  </si>
  <si>
    <t>Wasser - Produktionsmenge (oder in % des Umsatzes)
(m3/Jahr) * Wasserkosten (in EUR/m3)</t>
  </si>
  <si>
    <t>Acqua - volume di produzione (o in % del fatturato)
(m3/a) * costo dell'acqua (in Euro/m3)</t>
  </si>
  <si>
    <t>Agua - volumen de producción (o en % de la facturación)_x000D_
(m3/a) * costes del agua (en EUR/m3)</t>
  </si>
  <si>
    <t>Νερό - όγκος παραγωγής (ή σε ποσοστό του κύκλου εργασιών)                                                                                                                  (m3 / χρόνο) * κόστος νερού (σε EUR / m3)</t>
  </si>
  <si>
    <t xml:space="preserve"> Eau - volume de production (ou en % du chiffre d'affaires)_x000D_
(m3/a) * coûts de l'eau (en EUR/m3) </t>
  </si>
  <si>
    <t xml:space="preserve">Ūdens - ražošanas apjoms (vai % no apgrozījuma)
(m3 / gadā) * ūdens izmaksas (EUR / m3) </t>
  </si>
  <si>
    <t>Apă - volumul producției (sau în % din cifra de afaceri)
(m3/y) * costs of water (in EUR/m3)</t>
  </si>
  <si>
    <t>Identification_Sample2_Text5</t>
  </si>
  <si>
    <t>Daudzums (kopā vai % no produkcijas)</t>
  </si>
  <si>
    <t>Identification_Sample2_Text6</t>
  </si>
  <si>
    <t>Composition</t>
  </si>
  <si>
    <t>Zusammensetzung</t>
  </si>
  <si>
    <t>Composizione</t>
  </si>
  <si>
    <t>Composición</t>
  </si>
  <si>
    <t>Σύνθεση</t>
  </si>
  <si>
    <t>Sastāvs</t>
  </si>
  <si>
    <t>Compoziție</t>
  </si>
  <si>
    <t>Identification_Sample2_Text7</t>
  </si>
  <si>
    <t>Ποσότητα (ολική ή ως ποσοστό της παραγωγής)</t>
  </si>
  <si>
    <t>Identification_Area3</t>
  </si>
  <si>
    <t>Area: Gazeous emissions</t>
  </si>
  <si>
    <t>Bereich: Gasförmige Emissionen</t>
  </si>
  <si>
    <t>Area: Emissioni gassose</t>
  </si>
  <si>
    <t>Superficie: Emisiones gaseosas</t>
  </si>
  <si>
    <t>Περιοχή: Έκπομπές αερίων</t>
  </si>
  <si>
    <t>Domaine : Émissions gazeuses</t>
  </si>
  <si>
    <t xml:space="preserve">Platība: gāzveida emisijas </t>
  </si>
  <si>
    <t>Zona: emisii gazoase</t>
  </si>
  <si>
    <t>Identification_Area3_Text1</t>
  </si>
  <si>
    <t>Reduzierte Staubemissionen</t>
  </si>
  <si>
    <t>Ridotte emissioni di pulviscolo</t>
  </si>
  <si>
    <t>Reducción de las emisiones de polvo</t>
  </si>
  <si>
    <t>Μειωμένες εκπομπές σκόνης</t>
  </si>
  <si>
    <t>Réduction des émissions de poussières</t>
  </si>
  <si>
    <t>Samazinātas cieto daļiņu emisijas</t>
  </si>
  <si>
    <t>Reducere emisii praf</t>
  </si>
  <si>
    <t>Identification_Area3_Text2</t>
  </si>
  <si>
    <t>Reduced CO, CO2, NOx, SOx emissions</t>
  </si>
  <si>
    <t>Reduzierte CO-, CO2-, NOx- und SOx-Emissionen</t>
  </si>
  <si>
    <t>Riduzione delle emissioni di CO, CO2, NOx, Sox</t>
  </si>
  <si>
    <t>Reducción de las emisiones de CO, CO2, NOx, SOx</t>
  </si>
  <si>
    <t>Μειωμένες εκπομπές CO, CO2, NOx, SOx</t>
  </si>
  <si>
    <t>Réduction des émissions de CO, CO2, NOx, SOx</t>
  </si>
  <si>
    <t>Samazinātas CO, CO2, Nox, Sox emisijas</t>
  </si>
  <si>
    <t xml:space="preserve">Reducere emisii CO, CO2, NOx, SOx </t>
  </si>
  <si>
    <t>Identification_Area3_Text3</t>
  </si>
  <si>
    <t>Reduction of fluorinated (refrigerant) gases emissions</t>
  </si>
  <si>
    <t>Reduzierung der Emissionen fluorierter (Kältemittel) Gase</t>
  </si>
  <si>
    <t>Riduzione delle emissioni di gas fluorurati (refrigeranti)</t>
  </si>
  <si>
    <t>Reducción de las emisiones de gases fluorados (refrigerantes)</t>
  </si>
  <si>
    <t>Μείωση εκπομπών φθοριούχων (ψυκτικών) αερίων</t>
  </si>
  <si>
    <t>Réduction des émissions de gaz fluorés (réfrigérants)</t>
  </si>
  <si>
    <t>Fluorēto (dzesējošo) gāzu emisiju samazināšana</t>
  </si>
  <si>
    <t>Reducere emisii gaze fluorinate (refrigerant)</t>
  </si>
  <si>
    <t>Identification_Sample3_Text</t>
  </si>
  <si>
    <t>Quantità (totale o come % della produzione)</t>
  </si>
  <si>
    <t>Identification_Area4</t>
  </si>
  <si>
    <t>Area: Maintenance</t>
  </si>
  <si>
    <t>Bereich: Wartung</t>
  </si>
  <si>
    <t>Area: Manutenzione</t>
  </si>
  <si>
    <t>Área: Mantenimiento</t>
  </si>
  <si>
    <t>Περιοχή: Συντήρηση</t>
  </si>
  <si>
    <t>Domaine : Maintenance</t>
  </si>
  <si>
    <t>Joma: Apkope</t>
  </si>
  <si>
    <t>Zona: Mentenanță</t>
  </si>
  <si>
    <t>Identification_Area4_Text1</t>
  </si>
  <si>
    <t>Reduzierte Wartungskosten</t>
  </si>
  <si>
    <t>Riduzione dei costi di manutenzione</t>
  </si>
  <si>
    <t>Reducción de los costes de mantenimiento</t>
  </si>
  <si>
    <t>Μειωμένο κόστος συντήρησης</t>
  </si>
  <si>
    <t>Réduction des coûts de maintenance</t>
  </si>
  <si>
    <t>Samazinātas uzturēšanas izmaksas</t>
  </si>
  <si>
    <t>Reducere cost mentenanță</t>
  </si>
  <si>
    <t>Identification_Area4_Text2</t>
  </si>
  <si>
    <t>Reduced machinery and equipment wear and tear</t>
  </si>
  <si>
    <t>Reduzierter Verschleiß von Maschinen und Anlagen</t>
  </si>
  <si>
    <t>Riduzione dell'usura dei macchinari e delle attrezzature</t>
  </si>
  <si>
    <t>Reducción del desgaste de la maquinaria y los equipos</t>
  </si>
  <si>
    <t>Μειωμένη φθορά μηχανημάτων και εξοπλισμού</t>
  </si>
  <si>
    <t>Réduction de l'usure des machines et des équipements</t>
  </si>
  <si>
    <t xml:space="preserve">Samazināts mašīnu un iekārtu nodilums </t>
  </si>
  <si>
    <t>Uzură redusă a mașinilor și echipamentelor</t>
  </si>
  <si>
    <t>Identification_Area4_Text3</t>
  </si>
  <si>
    <t>Reduced engineering control cost</t>
  </si>
  <si>
    <t>Reduzierte Kosten für die technische Kontrolle</t>
  </si>
  <si>
    <t>Ridotto costo di controllo ingegneristico</t>
  </si>
  <si>
    <t>Reducción del coste de control de ingeniería</t>
  </si>
  <si>
    <t>Μειωμένο κόστος ελέγχου μηχανικού</t>
  </si>
  <si>
    <t>Réduction des coûts de contrôle technique</t>
  </si>
  <si>
    <t>Samazinātas inženiertehniskās kontroles izmaksas</t>
  </si>
  <si>
    <t>Costuri reduse de control tehnic</t>
  </si>
  <si>
    <t>Identification_Sample4_Text1</t>
  </si>
  <si>
    <t>Wages (Euro/h) * reduced maintenance hours (h/y)</t>
  </si>
  <si>
    <t>Löhne (Euro/Stunde) * reduzierte Wartungszeiten (hr/a)</t>
  </si>
  <si>
    <t>Salari (Euroo/h) * ore di manutenzione ridotte (h/a)</t>
  </si>
  <si>
    <t>Salarios (Euro/h) * reducción de las horas de mantenimiento (h/a)</t>
  </si>
  <si>
    <t>Μισθοί (Euroo/ ώρα) * μειωμένες ώρες συντήρησης (ωρα/ χρόνο)</t>
  </si>
  <si>
    <t>Salaires (Euro/h) * hEuroes de maintenance réduites (h/an)</t>
  </si>
  <si>
    <t>Algas (EUR / h) * saīsinātas tehniskās apkopes stundas (h / gadā)</t>
  </si>
  <si>
    <t>Salarii (Euro/h) * ore reduse de întreținere (h/an)</t>
  </si>
  <si>
    <t>Identification_Sample4_Text2</t>
  </si>
  <si>
    <t>Longer lifetime of equipment so reduced levelised costs machinery</t>
  </si>
  <si>
    <t>Längere Lebensdauer der Anlagen, dadurch reduzierte Kosten für Maschinen</t>
  </si>
  <si>
    <t>Durata di vita più lunga delle attrezzature, quindi costi dei macchinari ridotti</t>
  </si>
  <si>
    <t>Mayor vida útil de los equipos, por lo que se reducen los costes de nivelación de la maquinaria</t>
  </si>
  <si>
    <t>Μεγαλύτερη διάρκεια ζωής του εξοπλισμού με αποτέλεσμα μειωμένο επίπεδο επίπεδο μηχανημάτων</t>
  </si>
  <si>
    <t>Durée de vie plus longue des équipements, donc réduction des coûts nivelés des machines</t>
  </si>
  <si>
    <t>Ilgāks aprīkojuma kalpošanas laiks, samazinot mašīnas izlīdzinātās izmaksas</t>
  </si>
  <si>
    <t>Durată de viață mai lungă a echipamentelor, astfel reducere cu costurile mașinilor</t>
  </si>
  <si>
    <t>Identification_Sample4_Text3</t>
  </si>
  <si>
    <t>Technical control cost</t>
  </si>
  <si>
    <t>Kosten der technischen Kontrolle</t>
  </si>
  <si>
    <t>Costo del controllo tecnico</t>
  </si>
  <si>
    <t>Coste del control técnico</t>
  </si>
  <si>
    <t>Κόστος τεχνικού ελέγχου</t>
  </si>
  <si>
    <t>Coût du contrôle technique</t>
  </si>
  <si>
    <t>Tehniskās kontroles izmaksas</t>
  </si>
  <si>
    <t>Costul controlului tehnic</t>
  </si>
  <si>
    <t>Identification_Area5</t>
  </si>
  <si>
    <t>Area: Working environment</t>
  </si>
  <si>
    <t>Bereich: Arbeitsumgebung</t>
  </si>
  <si>
    <t>Area: Ambiente di lavoro</t>
  </si>
  <si>
    <t>Área: Entorno de trabajo</t>
  </si>
  <si>
    <t>Περιοχή: Εργασιακό περιβάλλον</t>
  </si>
  <si>
    <t>Domaine : Environnement de travail</t>
  </si>
  <si>
    <t xml:space="preserve">Joma: Darba vide </t>
  </si>
  <si>
    <t>Zona: mediu de lucru</t>
  </si>
  <si>
    <t>Identification_Area5_Text1</t>
  </si>
  <si>
    <t>Reduzierte Lärmbelastung</t>
  </si>
  <si>
    <t>Riduzione del rumore</t>
  </si>
  <si>
    <t>Reducción del ruido</t>
  </si>
  <si>
    <t>Μειωμένος θόρυβος</t>
  </si>
  <si>
    <t>Réduction du bruit</t>
  </si>
  <si>
    <t>Samazināts troksnis</t>
  </si>
  <si>
    <t>Reducere zgomot</t>
  </si>
  <si>
    <t>Identification_Area5_Text2</t>
  </si>
  <si>
    <t>Air quality improvement</t>
  </si>
  <si>
    <t>Verbesserung der Luftqualität</t>
  </si>
  <si>
    <t>Miglioramento della qualità dell'aria</t>
  </si>
  <si>
    <t>Mejora de la calidad del aire</t>
  </si>
  <si>
    <t>Βελτίωση ποιότητας αέρα</t>
  </si>
  <si>
    <t>Amélioration de la qualité de l'air</t>
  </si>
  <si>
    <t>Gaisa kvalitātes uzlabošanās</t>
  </si>
  <si>
    <t>Calitate aer îmbunătățită</t>
  </si>
  <si>
    <t>Identification_Area5_Text3</t>
  </si>
  <si>
    <t>Improved thermal comfort</t>
  </si>
  <si>
    <t>Verbesserter thermischer Komfort</t>
  </si>
  <si>
    <t>Miglioramento del comfort termico</t>
  </si>
  <si>
    <t>Mejora del confort térmico</t>
  </si>
  <si>
    <t>Βελτιωμένη θερμική άνεση</t>
  </si>
  <si>
    <t>Amélioration du confort thermique</t>
  </si>
  <si>
    <t>Uzlabots siltuma komforts</t>
  </si>
  <si>
    <t>Comfort tehnic îmbunătățit</t>
  </si>
  <si>
    <t>Identification_Area5_Text4</t>
  </si>
  <si>
    <t>Improved visual comfort</t>
  </si>
  <si>
    <t>Verbesserter Sehkomfort</t>
  </si>
  <si>
    <t>Miglioramento del comfort visivo</t>
  </si>
  <si>
    <t>Mejora del confort visual</t>
  </si>
  <si>
    <t>Βελτιωμένη οπτική άνεση</t>
  </si>
  <si>
    <t>Amélioration du confort visuel</t>
  </si>
  <si>
    <t>Uzlabots vizuālais komforts</t>
  </si>
  <si>
    <t>Comfort vizual îmbunătățit</t>
  </si>
  <si>
    <t>Identification_Area5_Text5</t>
  </si>
  <si>
    <t xml:space="preserve">Improved workforce productivity </t>
  </si>
  <si>
    <t xml:space="preserve">Verbesserte Produktivität der Mitarbeiter </t>
  </si>
  <si>
    <t>Miglioramento della produttività della forza lavoro</t>
  </si>
  <si>
    <t xml:space="preserve">Mejora de la productividad de los trabajadores </t>
  </si>
  <si>
    <t>Βελτιωμένη παραγωγικότητα εργατικού δυναμικού</t>
  </si>
  <si>
    <t xml:space="preserve">Amélioration de la productivité du personnel </t>
  </si>
  <si>
    <t>Uzlabota darbaspēka produktivitāte</t>
  </si>
  <si>
    <t>Productivitate îmbunătățită forță de muncă</t>
  </si>
  <si>
    <t>Identification_Area5_Text6</t>
  </si>
  <si>
    <t>Reduced absenteism</t>
  </si>
  <si>
    <t>Reduzierte Fehlzeiten</t>
  </si>
  <si>
    <t>Riduzione dell'assenteismo</t>
  </si>
  <si>
    <t>Reducción del absentismo laboral</t>
  </si>
  <si>
    <t>Μειωμένη απουσία</t>
  </si>
  <si>
    <t>Réduction de l'absentéisme</t>
  </si>
  <si>
    <t>Samazināts kavējumu skaits</t>
  </si>
  <si>
    <t>Absenteism redus</t>
  </si>
  <si>
    <t>Identification_Area5_Text7</t>
  </si>
  <si>
    <t>Reduction of health costs</t>
  </si>
  <si>
    <t>Reduzierung der Gesundheitskosten</t>
  </si>
  <si>
    <t>Riduzione dei costi sanitari</t>
  </si>
  <si>
    <t>Reducción de los costes sanitarios</t>
  </si>
  <si>
    <t>Μείωση του κόστους υγείας</t>
  </si>
  <si>
    <t>Réduction des coûts de santé</t>
  </si>
  <si>
    <t>Veselības izmaksu samazināšana</t>
  </si>
  <si>
    <t>Reducere a costurilor cu sănătatea</t>
  </si>
  <si>
    <t>Identification_Area5_Text8</t>
  </si>
  <si>
    <t>Reduced need for protective equipment</t>
  </si>
  <si>
    <t>Reduzierter Bedarf an Schutzausrüstung</t>
  </si>
  <si>
    <t>Ridotta necessità di dispositivi di protezione</t>
  </si>
  <si>
    <t>Reducción de la necesidad de equipos de protección</t>
  </si>
  <si>
    <t>Μειωμένη ανάγκη για προστατευτικό εξοπλισμό</t>
  </si>
  <si>
    <t>Réduction des besoins en équipements de protection</t>
  </si>
  <si>
    <t>Samazināta vajadzība pēc aizsardzības līdzekļiem</t>
  </si>
  <si>
    <t>Reducere necesar echipament protecție</t>
  </si>
  <si>
    <t>Identification_Sample5_Text1</t>
  </si>
  <si>
    <t>Decibels* time of exposure</t>
  </si>
  <si>
    <t>Dezibel * Expositionsdauer</t>
  </si>
  <si>
    <t>Decibel* tempo di esposizione</t>
  </si>
  <si>
    <t>Decibelios* tiempo de exposición</t>
  </si>
  <si>
    <t xml:space="preserve">Χρόνος έκθεσης Ντεσιμπέλ * </t>
  </si>
  <si>
    <t>Décibels* temps d'exposition</t>
  </si>
  <si>
    <t>Decibeliem * iedarbības laiks</t>
  </si>
  <si>
    <t>Decibeli* timp de expunere</t>
  </si>
  <si>
    <t>Identification_Sample5_Text2</t>
  </si>
  <si>
    <t>Number of particles/m2</t>
  </si>
  <si>
    <t xml:space="preserve">Anzahl der Partikel /m2 </t>
  </si>
  <si>
    <t>Numero di particelle/m2</t>
  </si>
  <si>
    <t>Número de partículas/m2</t>
  </si>
  <si>
    <t>Αριθμός σωματιδίων / m2</t>
  </si>
  <si>
    <t>Nombre de particules/m2</t>
  </si>
  <si>
    <t>Daļiņu skaits / m2</t>
  </si>
  <si>
    <t>Număr de particule/m2</t>
  </si>
  <si>
    <t>Identification_Sample5_Text3</t>
  </si>
  <si>
    <t>Well-being</t>
  </si>
  <si>
    <t>Wohlbefinden</t>
  </si>
  <si>
    <t>Benessere</t>
  </si>
  <si>
    <t>Bienestar</t>
  </si>
  <si>
    <t>Ευημερία</t>
  </si>
  <si>
    <t>Bien-être</t>
  </si>
  <si>
    <t>Labsajūta</t>
  </si>
  <si>
    <t>Bunăstare</t>
  </si>
  <si>
    <t>Identification_Sample5_Text4</t>
  </si>
  <si>
    <t>Well-being - productivity</t>
  </si>
  <si>
    <t>Wohlbefinden - Produktivität</t>
  </si>
  <si>
    <t>Benessere - produttività</t>
  </si>
  <si>
    <t>Bienestar - productividad</t>
  </si>
  <si>
    <t>Ευημερία-παραγωγικότητα</t>
  </si>
  <si>
    <t>Bien-être - productivité</t>
  </si>
  <si>
    <t>Labsajūta - produktivitāte</t>
  </si>
  <si>
    <t>Bunăstare - productivitate</t>
  </si>
  <si>
    <t>Identification_Sample5_Text5</t>
  </si>
  <si>
    <t>Depend on the tasks (repetitive or not)</t>
  </si>
  <si>
    <t>Abhängig von den Aufgaben (repetitiv oder nicht)</t>
  </si>
  <si>
    <t>Dipende dai compiti (ripetitivi o meno)</t>
  </si>
  <si>
    <t>Depende de las tareas (repetitivas o no)</t>
  </si>
  <si>
    <t>Εξαρτάται από τις εργασίες (επαναλαμβανόμενες ή όχι)</t>
  </si>
  <si>
    <t>Dépend des tâches (répétitives ou non)</t>
  </si>
  <si>
    <t xml:space="preserve">Atkarīgs no uzdevumiem (atkārtojas vai nē) </t>
  </si>
  <si>
    <t>Dependent de taskuri (repetitive sau nu)</t>
  </si>
  <si>
    <t>Identification_Sample5_Text6</t>
  </si>
  <si>
    <t>Sickness absence days * cost per day</t>
  </si>
  <si>
    <t>Abwesenheitstage bei Krankheit * Kosten pro Tag</t>
  </si>
  <si>
    <t>Giorni di assenza per malattia * costo al giorno</t>
  </si>
  <si>
    <t>Días de ausencia por enfermedad * coste por día</t>
  </si>
  <si>
    <t>Ημέρες απουσίας ασθένειας * κόστος ανά ημέρα</t>
  </si>
  <si>
    <t>Jours d'absence pour cause de maladie * coût par jour</t>
  </si>
  <si>
    <t>Slimības prombūtnes dienas * maksa par dienu</t>
  </si>
  <si>
    <t>Zile absente concediu medical * cost per zi</t>
  </si>
  <si>
    <t>Identification_Sample5_Text7</t>
  </si>
  <si>
    <t>Insurance premiums reduction</t>
  </si>
  <si>
    <t>Senkung der Versicherungsprämien</t>
  </si>
  <si>
    <t>Riduzione dei premi assicurativi</t>
  </si>
  <si>
    <t>Reducción de las primas de seguro</t>
  </si>
  <si>
    <t>Μείωση ασφαλίστρων</t>
  </si>
  <si>
    <t>Réduction des primes d'assurance</t>
  </si>
  <si>
    <t xml:space="preserve">Apdrošināšanas prēmiju samazināšana </t>
  </si>
  <si>
    <t>Reducerea primelor de asigurare</t>
  </si>
  <si>
    <t>Identification_Sample5_Text8</t>
  </si>
  <si>
    <t>Cost of equipment</t>
  </si>
  <si>
    <t>Kosten der Ausrüstung</t>
  </si>
  <si>
    <t>Costo delle attrezzature</t>
  </si>
  <si>
    <t>Coste de los equipos</t>
  </si>
  <si>
    <t xml:space="preserve">Κόστος εξοπλισμου </t>
  </si>
  <si>
    <t>Coût de l'équipement</t>
  </si>
  <si>
    <t>Aprīkojuma izmaksas</t>
  </si>
  <si>
    <t xml:space="preserve">Costul echipamentului  </t>
  </si>
  <si>
    <t>Identification_Area6</t>
  </si>
  <si>
    <t>Area: Risk management</t>
  </si>
  <si>
    <t>Bereich: Risikominderung</t>
  </si>
  <si>
    <t>Area: Gestione del rischio</t>
  </si>
  <si>
    <t>Área: Gestión de riesgos</t>
  </si>
  <si>
    <t>Περιοχή: Διαχείριση κινδύνου</t>
  </si>
  <si>
    <t>Domaine : Gestion des risques</t>
  </si>
  <si>
    <t>Joma: Riska vadība</t>
  </si>
  <si>
    <t>Zona: Managementul riscului</t>
  </si>
  <si>
    <t>Identification_Area6_Text1</t>
  </si>
  <si>
    <t>Reduziertes Risiko von Unfällen und Berufskrankheiten</t>
  </si>
  <si>
    <t>Riduzione del rischio di incidenti e malattie professionali</t>
  </si>
  <si>
    <t>Reducción del riesgo de accidente y enfermedad profesional</t>
  </si>
  <si>
    <t>Μειωμένος κίνδυνος ατυχήματος και επαγγελματικής ασθένειας</t>
  </si>
  <si>
    <t>Réduction des risques d'accidents et de maladies professionnelles</t>
  </si>
  <si>
    <t xml:space="preserve">Samazināts nelaimes gadījumu un arodslimību risks </t>
  </si>
  <si>
    <t>Risc redus de accident și boală profesională</t>
  </si>
  <si>
    <t>Identification_Area6_Text2</t>
  </si>
  <si>
    <t>Reduced CO2 and energy price risks</t>
  </si>
  <si>
    <t>Reduzierte CO2- und Energiepreisrisiken</t>
  </si>
  <si>
    <t>Riduzione del rischio di CO2 e del prezzo dell'energia</t>
  </si>
  <si>
    <t>Reducción del riesgo de CO2 y del precio de la energía</t>
  </si>
  <si>
    <t>Μειωμένοι κίνδυνοι τιμών CO2 και ενέργειας</t>
  </si>
  <si>
    <t>Réduction des risques liés au CO2 et au prix de l'énergie</t>
  </si>
  <si>
    <t>Samazināts CO2 un enerģijas cenu risks</t>
  </si>
  <si>
    <t>Riscuri reduse legate de CO2 și preț energie</t>
  </si>
  <si>
    <t>Identification_Area6_Text3</t>
  </si>
  <si>
    <t>Reduced water price risk</t>
  </si>
  <si>
    <t>Reduziertes Wasserpreisrisiko</t>
  </si>
  <si>
    <t>Riduzione del rischio dell prezzo dell'acqua</t>
  </si>
  <si>
    <t>Reducción del riesgo del precio del agua</t>
  </si>
  <si>
    <t>Μειωμένος κίνδυνος τιμής νερού</t>
  </si>
  <si>
    <t>Réduction des risques liés au prix de l'eau</t>
  </si>
  <si>
    <t>Samazināts ūdens cenu risks</t>
  </si>
  <si>
    <t>Risc redus preț apă</t>
  </si>
  <si>
    <t>Identification_Area6_Text4</t>
  </si>
  <si>
    <t>Reduced legal risk</t>
  </si>
  <si>
    <t>Reduziertes Rechtsrisiko</t>
  </si>
  <si>
    <t>Riduzione del rischio legale</t>
  </si>
  <si>
    <t>Reducción del riesgo legal</t>
  </si>
  <si>
    <t>Μειωμένος νομικός κίνδυνος</t>
  </si>
  <si>
    <t>Réduction des risques juridiques</t>
  </si>
  <si>
    <t>Samazināts juridiskais risks</t>
  </si>
  <si>
    <t>Risc redus legal</t>
  </si>
  <si>
    <t>Identification_Area6_Text5</t>
  </si>
  <si>
    <t>Reduced disruption of energy supply risk</t>
  </si>
  <si>
    <t>Reduziertes Risiko von Unterbrechungen der Energieversorgung</t>
  </si>
  <si>
    <t>Riduzione del rischio di interruzione della fornitura di energia</t>
  </si>
  <si>
    <t>Reducción del riesgo de interrupción del suministro de energía</t>
  </si>
  <si>
    <t>Μειωμένη διακοπή του κινδύνου ενεργειακού εφοδιασμού</t>
  </si>
  <si>
    <t>Réduction des risques de perturbation de l'approvisionnement en énergie</t>
  </si>
  <si>
    <t>Samazināts enerģijas piegādes riska pārtraukums</t>
  </si>
  <si>
    <t>Risc redus întreruperi furnizare energie</t>
  </si>
  <si>
    <t>Identification_Area6_Text6</t>
  </si>
  <si>
    <t>Reduced disruption of (other) supplies</t>
  </si>
  <si>
    <t>Reduziertes Risiko von Unterbrechungen (anderer) Versorgungen</t>
  </si>
  <si>
    <t>Riduzione dell'interruzione delle (altre) forniture</t>
  </si>
  <si>
    <t>Reducción del riesgo de interrupción del suministro (de otro tipo)</t>
  </si>
  <si>
    <t>Μειωμένη διακοπή (άλλων) προμηθειών</t>
  </si>
  <si>
    <t>Réduction des perturbations de l'approvisionnement (autres)</t>
  </si>
  <si>
    <t>Samazināts (citu) piegāžu pārtraukums</t>
  </si>
  <si>
    <t>Reducerea întreruperii (altor) supplies</t>
  </si>
  <si>
    <t>Identification_Sample6_Text1</t>
  </si>
  <si>
    <t>Number of accidents / year</t>
  </si>
  <si>
    <t>Anzahl der Unfälle / Jahr</t>
  </si>
  <si>
    <t>Numero di incidenti / anno</t>
  </si>
  <si>
    <t>Número de accidentes / año</t>
  </si>
  <si>
    <t>Αριθμός ατυχημάτων/έτος</t>
  </si>
  <si>
    <t>Nombre d'accidents / an</t>
  </si>
  <si>
    <t>Negadījumu skaits gadā</t>
  </si>
  <si>
    <t>Număr de accidente / an</t>
  </si>
  <si>
    <t>Identification_Sample6_Text2</t>
  </si>
  <si>
    <t>Price variability (based on ETS  or energy price forecasts)</t>
  </si>
  <si>
    <t>Preisvariabilität (basierend auf ETS oder Energiepreisprognosen)</t>
  </si>
  <si>
    <t>Variabilità dei prezzi (in base alle previsioni dei prezzi ETS o dell'energia)</t>
  </si>
  <si>
    <t>Variabilidad de los precios (basada en las previsiones de los precios de la energía)</t>
  </si>
  <si>
    <t>Διακύμανση τιμών (βάσει ETS ή προβλέψεων τιμών ενέργειας)</t>
  </si>
  <si>
    <t>Variabilité des prix (sur la base des prévisions de prix de l'ETS ou de l'énergie)</t>
  </si>
  <si>
    <t xml:space="preserve">Cenu mainīgums (pamatojoties uz ETS vai enerģijas cenu prognozēm) </t>
  </si>
  <si>
    <t>Variabilitatea prețurilor (pe baza ETS sau a previziunilor privind prețul energiei)</t>
  </si>
  <si>
    <t>Identification_Sample6_Text3</t>
  </si>
  <si>
    <t>Uncertainty in water price or years for which water price is contractually agreed with supplier</t>
  </si>
  <si>
    <t>Unsicherheit des Wasserpreises oder der Jahre des vertraglich vereinbarten Wasserpreises</t>
  </si>
  <si>
    <t>Incertezza del prezzo dell'acqua o degli anni in cui il prezzo dell'acqua è concordato contrattualmente con il fornitore</t>
  </si>
  <si>
    <t>Incertidumbre en el precio del agua o en los años en los que el precio del agua está acordado contractualmente con el proveedor</t>
  </si>
  <si>
    <t>Αβεβαιότητα στην τιμή του νερού ή έτη για τα οποία η τιμή του νερού συμφωνείται συμβατικά με τον προμηθευτή</t>
  </si>
  <si>
    <t>Incertitude quant au prix de l'eau ou aux années pour lesquelles le prix de l'eau est convenu contractuellement avec le fournisseur</t>
  </si>
  <si>
    <t>Neskaidrība par ūdens cenu vai gadiem, par kuriem ūdens cena ir saskaņota ar piegādātāju</t>
  </si>
  <si>
    <t>Incertitudinea prețului apei sau a anilor pentru care prețul apei este convenit prin contract cu furnizorul</t>
  </si>
  <si>
    <t>Identification_Sample6_Text4</t>
  </si>
  <si>
    <t>Number of lawsuits or legal disputes</t>
  </si>
  <si>
    <t>Anzahl der Klagen oder Rechtsstreitigkeiten</t>
  </si>
  <si>
    <t>Numero di cause o controversie legali</t>
  </si>
  <si>
    <t>Número de pleitos o disputas legales</t>
  </si>
  <si>
    <t>Αριθμός αγωγών ή νομικών διαφορών</t>
  </si>
  <si>
    <t>Nombre de poursuites ou de litiges juridiques</t>
  </si>
  <si>
    <t>Tiesvedību vai strīdu skaits</t>
  </si>
  <si>
    <t>Numărul de procese sau litigii juridice</t>
  </si>
  <si>
    <t>Identification_Sample6_Text5</t>
  </si>
  <si>
    <t>Energy supply availability rate (e.g. electricity supply disruption rate)</t>
  </si>
  <si>
    <t>Verfügbarkeitsrate der Energieversorgung (z.B. Ausfallrate der Stromversorgung)</t>
  </si>
  <si>
    <t>Tasso di disponibilità della fornitura di energia (ad esempio, tasso di interruzione della fornitura di elettricità)</t>
  </si>
  <si>
    <t>Tasa de disponibilidad del suministro de energía (por ejemplo, tasa de interrupción del suministro eléctrico)</t>
  </si>
  <si>
    <t>Ποσοστό διαθεσιμότητας ενεργειακού εφοδιασμού (π.χ. ποσοστό διακοπής παροχής ηλεκτρικής ενέργειας)</t>
  </si>
  <si>
    <t>Taux de disponibilité de l'approvisionnement en énergie (par exemple, taux de perturbation de l'approvisionnement en électricité)</t>
  </si>
  <si>
    <t>Enerģijas piegādes pieejamības līmenis (piemēram, elektroenerģijas piegādes traucējumu līmenis)</t>
  </si>
  <si>
    <t>Rata de disponibilitate a aprovizionării cu energie (de exemplu, rata de întrerupere a aprovizionării cu energie electrică)</t>
  </si>
  <si>
    <t>Identification_Area7</t>
  </si>
  <si>
    <t>Area: Others</t>
  </si>
  <si>
    <t>Bereich: Andere</t>
  </si>
  <si>
    <t>Area: Altri</t>
  </si>
  <si>
    <t>Área: Otros</t>
  </si>
  <si>
    <t>Περιοχή:Άλλοι</t>
  </si>
  <si>
    <t>Domaine : Autres</t>
  </si>
  <si>
    <t>Laukums: Citi</t>
  </si>
  <si>
    <t>Zona: Altele</t>
  </si>
  <si>
    <t>Identification_Area7_Text1</t>
  </si>
  <si>
    <t>Erhöhte Installationssicherheit</t>
  </si>
  <si>
    <t>Maggiore sicurezza dell'impianto</t>
  </si>
  <si>
    <t>Aumento de la seguridad de las instalaciones</t>
  </si>
  <si>
    <t>Αυξημένη ασφάλεια εγκατάστασης</t>
  </si>
  <si>
    <t>Sécurité accrue des installations</t>
  </si>
  <si>
    <t>Paaugstināta uzstādīšanas drošība</t>
  </si>
  <si>
    <t>Siguranța crescută a instalației</t>
  </si>
  <si>
    <t>Identification_Area7_Text2</t>
  </si>
  <si>
    <t>Improved staff satisfaction and loyalty</t>
  </si>
  <si>
    <t>Verbesserte Mitarbeiterzufriedenheit und -bindung</t>
  </si>
  <si>
    <t>Maggiore soddisfazione e lealtà del personale</t>
  </si>
  <si>
    <t>Mayor satisfacción y fidelidad del personal</t>
  </si>
  <si>
    <t>Βελτιωμένη ικανοποίηση και πίστη του προσωπικού</t>
  </si>
  <si>
    <t>Amélioration de la satisfaction et de la fidélité du personnel</t>
  </si>
  <si>
    <t>Uzlabota personāla apmierinātība un lojalitāte</t>
  </si>
  <si>
    <t>Îmbunătățirea satisfacției și loialității personalului</t>
  </si>
  <si>
    <t>Identification_Area7_Text3</t>
  </si>
  <si>
    <t>Reduced staff turnover</t>
  </si>
  <si>
    <t>Reduzierte Personalfluktuation</t>
  </si>
  <si>
    <t>Riduzione del turnover del personale</t>
  </si>
  <si>
    <t>Reducción de la rotación del personal</t>
  </si>
  <si>
    <t>Μειωμένος κύκλος εργασιών προσωπικού</t>
  </si>
  <si>
    <t>Réduction de la rotation du personnel</t>
  </si>
  <si>
    <t>Samazināta kadru mainība</t>
  </si>
  <si>
    <t>Reducerea fluctuației de personal</t>
  </si>
  <si>
    <t>Identification_Area7_Text4</t>
  </si>
  <si>
    <t>Delayed or reduced capital expenditure</t>
  </si>
  <si>
    <t>Verspätete oder reduzierte Investitionen</t>
  </si>
  <si>
    <t>Ritardo o riduzione delle spese di capitale</t>
  </si>
  <si>
    <t>Retraso o reducción de los gastos de capital</t>
  </si>
  <si>
    <t>Καθυστερημένες ή μειωμένες κεφαλαιουχικές δαπάνες</t>
  </si>
  <si>
    <t>Retard ou réduction des dépenses d'investissement</t>
  </si>
  <si>
    <t>Kavēti vai samazināti kapitāla izdevumi</t>
  </si>
  <si>
    <t>Cheltuieli de capital întârziate sau reduse</t>
  </si>
  <si>
    <t>Identification_Area7_Text5</t>
  </si>
  <si>
    <t xml:space="preserve">Reduced insurance cost </t>
  </si>
  <si>
    <t xml:space="preserve">Reduzierte Versicherungskosten </t>
  </si>
  <si>
    <t>Riduzione dei costi di assicurazione</t>
  </si>
  <si>
    <t xml:space="preserve">Reducción del coste de los seguros </t>
  </si>
  <si>
    <t>Μειωμένο κόστος ασφάλισης</t>
  </si>
  <si>
    <t xml:space="preserve">Réduction des coûts d'assurance </t>
  </si>
  <si>
    <t>Samazinātas apdrošināšanas izmaksas</t>
  </si>
  <si>
    <t xml:space="preserve">Reducere cost asigurare </t>
  </si>
  <si>
    <t>Identification_Area7_Text6</t>
  </si>
  <si>
    <t>Additional space / Improved space utilisation</t>
  </si>
  <si>
    <t>Zusätzlicher Platz / Verbesserte Raumnutzung</t>
  </si>
  <si>
    <t>Spazio aggiuntivo / Migliore utilizzo dello spazio</t>
  </si>
  <si>
    <t>Espacio adicional/mejora de la utilización del espacio</t>
  </si>
  <si>
    <t>Πρόσθετος χώρος / Βελτιωμένη χρήση χώρου</t>
  </si>
  <si>
    <t>Espace supplémentaire / Meilleure utilisation de l'espace</t>
  </si>
  <si>
    <t>Papildu telpa / Uzlabota telpas izmantošana</t>
  </si>
  <si>
    <t>Spațiu suplimentar / Utilizare îmbunătățită a spațiului</t>
  </si>
  <si>
    <t>Identification_Area7_Text7</t>
  </si>
  <si>
    <t>Simplification &amp; automation of customs procedures</t>
  </si>
  <si>
    <t>Vereinfachung und Automatisierung der Zollverfahren</t>
  </si>
  <si>
    <t>Semplificazione e automazione delle procedure amministrative</t>
  </si>
  <si>
    <t>Simplificación y automatización de los procedimientos aduaneros</t>
  </si>
  <si>
    <t>Απλοποίηση &amp; αυτοματοποίηση τελωνειακών διαδικασιών</t>
  </si>
  <si>
    <t>Simplification et automatisation des procédures douanières</t>
  </si>
  <si>
    <t>Muitas procedūru vienkāršošana un automatizācija</t>
  </si>
  <si>
    <t>Simplificarea și automatizarea procedurilor vamale</t>
  </si>
  <si>
    <t>Identification_Area7_Text8</t>
  </si>
  <si>
    <t>Contribution to company's vision or strategy</t>
  </si>
  <si>
    <t>Beitrag zur Vision oder Strategie des Unternehmens</t>
  </si>
  <si>
    <t>Contributo alla visione o alla strategia dell'azienda</t>
  </si>
  <si>
    <t>Contribución a la visión o estrategia de la empresa</t>
  </si>
  <si>
    <t>Συμβολή στο όραμα ή τη στρατηγική της εταιρείας</t>
  </si>
  <si>
    <t>Contribution à la vision ou à la stratégie de l'entreprise</t>
  </si>
  <si>
    <t>Ieguldījums uzņēmuma redzējumā vai stratēģijā</t>
  </si>
  <si>
    <t>Contribuție la viziunea și strategia companiei</t>
  </si>
  <si>
    <t>Identification_Area7_Text9</t>
  </si>
  <si>
    <t>Improved image or reputation</t>
  </si>
  <si>
    <t>Verbessertes Image oder Reputation</t>
  </si>
  <si>
    <t>Migliore immagine o reputazione</t>
  </si>
  <si>
    <t>Mejora de la imagen o la reputación</t>
  </si>
  <si>
    <t>Βελτιωμένη εικόνα ή φήμη</t>
  </si>
  <si>
    <t>Amélioration de l'image ou de la réputation</t>
  </si>
  <si>
    <t xml:space="preserve">Uzlabots tēls vai reputācija </t>
  </si>
  <si>
    <t>Imagine sau reputație îmbunătățită</t>
  </si>
  <si>
    <t>Identification_Area7_Text10</t>
  </si>
  <si>
    <t>Increased knowledge of production/auxiliary processes</t>
  </si>
  <si>
    <t>Erweitertes Wissen über Produktions-/Hilfsprozesse</t>
  </si>
  <si>
    <t>Maggiore conoscenza dei processi produttivi/ ausiliari</t>
  </si>
  <si>
    <t>Mayor conocimiento de los procesos de producción/auxiliares</t>
  </si>
  <si>
    <t>Αυξημένη γνώση παραγωγής / βοηθητικών διαδικασιών</t>
  </si>
  <si>
    <t>Meilleure connaissance des processus de production/auxiliaires</t>
  </si>
  <si>
    <t>Paaugstinātas zināšanas par ražošanas / palīgprocesiem</t>
  </si>
  <si>
    <t>Creșterea cunoștințelor privind producția/procesele auxiliare</t>
  </si>
  <si>
    <t>Identification_Area7_Text11</t>
  </si>
  <si>
    <t>Increased assets value</t>
  </si>
  <si>
    <t>Wertsteigerung des Vermögens/ Sachwertes</t>
  </si>
  <si>
    <t>Aumento del valore dei beni</t>
  </si>
  <si>
    <t>Aumento del valor de los activos</t>
  </si>
  <si>
    <t>Αυξημένη αξία περιουσιακών στοιχείων</t>
  </si>
  <si>
    <t>Augmentation de la valeur des actifs</t>
  </si>
  <si>
    <t xml:space="preserve">Palielināta aktīvu vērtība </t>
  </si>
  <si>
    <t>Creșterea valorii activelor</t>
  </si>
  <si>
    <t>Identification_Area7_Text12</t>
  </si>
  <si>
    <t>Contribution to regulatory compliance/reporting</t>
  </si>
  <si>
    <t>Beitrag zur Einhaltung gesetzlicher Vorschriften/Berichterstattung (Compliance)</t>
  </si>
  <si>
    <t>Contributo alla conformità normativa/regolamentazione</t>
  </si>
  <si>
    <t>Contribución al cumplimiento de la normativa/la presentación de informes</t>
  </si>
  <si>
    <t>Συμβολή στην συμμόρφωση με κανόνες / αναφορά</t>
  </si>
  <si>
    <t>Contribution à la conformité réglementaire/à l'établissement de rapports</t>
  </si>
  <si>
    <t>Ieguldījums normatīvo aktu ievērošanā / ziņošanā</t>
  </si>
  <si>
    <t>Contribuția la conformitatea/raportarea reglementărilor</t>
  </si>
  <si>
    <t>Identification_Sample7_Text1</t>
  </si>
  <si>
    <t>Number of incidents per year * average costs (or other impact) per incident</t>
  </si>
  <si>
    <t>Anzahl der Vorfälle pro Jahr * durchschnittliche Kosten (oder andere Auswirkungen) pro Vorfall</t>
  </si>
  <si>
    <t>Numero di incidenti all'anno * costi medi (o altro impatto) per incidente</t>
  </si>
  <si>
    <t>Número de incidentes al año * costes medios (u otro impacto) por incidente</t>
  </si>
  <si>
    <t>Αριθμός συμβάντων ανά έτος * μέσο κόστος (ή άλλος αντίκτυπος) ανά συμβάν</t>
  </si>
  <si>
    <t>Nombre d'incidents par an * coûts moyens (ou autre impact) par incident</t>
  </si>
  <si>
    <t>Incidentu skaits gadā * vidējās izmaksas (vai cita ietekme) uz vienu incidentu</t>
  </si>
  <si>
    <t>Numărul de incidente pe an * costuri medii (sau alt impact) per incident</t>
  </si>
  <si>
    <t>Identification_Sample7_Text2</t>
  </si>
  <si>
    <t xml:space="preserve">Average number of years that employees work at the company </t>
  </si>
  <si>
    <t>durchschnittliche Anzahl der Jahre, die Mitarbeiter im Unternehmen arbeiten</t>
  </si>
  <si>
    <t>Numero medio di anni per cui i dipendenti lavorano nell'azienda</t>
  </si>
  <si>
    <t xml:space="preserve">Número medio de años que los empleados trabajan en la empresa </t>
  </si>
  <si>
    <t>Μέσος αριθμός ετών που εργάζονται οι εργαζόμενοι στην εταιρεία</t>
  </si>
  <si>
    <t xml:space="preserve">Nombre moyen d'années pendant lesquelles les employés travaillent dans l'entreprise </t>
  </si>
  <si>
    <t>Vidējais gadu skaits, cik ilgi darbinieki strādā uzņēmumā</t>
  </si>
  <si>
    <t>Numărul mediu de ani în care angajații lucrează la companie</t>
  </si>
  <si>
    <t>Identification_Sample7_Text3</t>
  </si>
  <si>
    <t>Employee satisfaction</t>
  </si>
  <si>
    <t xml:space="preserve">Mitarbeiterzufriedenheit </t>
  </si>
  <si>
    <t>Soddisfazione dei dipendenti</t>
  </si>
  <si>
    <t>Satisfacción de los empleados</t>
  </si>
  <si>
    <t>Ικανοποίηση εργαζομένων</t>
  </si>
  <si>
    <t>Satisfaction des employés</t>
  </si>
  <si>
    <t>Darbinieku apmierinātība</t>
  </si>
  <si>
    <t>Satisfacția angajaților</t>
  </si>
  <si>
    <t>Identification_Sample7_Text4</t>
  </si>
  <si>
    <t>Cost of equipment avoided</t>
  </si>
  <si>
    <t>Vermiedene Equipmentkosten</t>
  </si>
  <si>
    <t>Costo delle attrezzature evitato</t>
  </si>
  <si>
    <t>Coste de los equipos evitados</t>
  </si>
  <si>
    <t>Κόστος εξοπλισμού που απεφεύχθη</t>
  </si>
  <si>
    <t>Coût de l'équipement évité</t>
  </si>
  <si>
    <t>Izvairīšanās no liekām aprīkojuma izmaksām</t>
  </si>
  <si>
    <t>Cost al echipamentului evitat</t>
  </si>
  <si>
    <t>Identification_Sample7_Text5</t>
  </si>
  <si>
    <t xml:space="preserve">Insurance cost related to risk </t>
  </si>
  <si>
    <t>Versicherungskosten bezogen auf das Risiko</t>
  </si>
  <si>
    <t>Costo assicurativo legato al rischio</t>
  </si>
  <si>
    <t xml:space="preserve">Coste del seguro relacionado con el riesgo </t>
  </si>
  <si>
    <t>Ασφαλιστικό κόστος σχέτικό με το κίνδυνο</t>
  </si>
  <si>
    <t xml:space="preserve">Coût d'assurance lié au risque </t>
  </si>
  <si>
    <t>Apdrošināšanas izmaksas, kas saistītas ar risku</t>
  </si>
  <si>
    <t>Costul asigurării aferente riscului</t>
  </si>
  <si>
    <t>Identification_Sample7_Text6</t>
  </si>
  <si>
    <t>Number of m2 saved</t>
  </si>
  <si>
    <t>Anzahl der eingesparten m2</t>
  </si>
  <si>
    <t>Numero di m2 risparmiati</t>
  </si>
  <si>
    <t>Número de m2 ahorrados</t>
  </si>
  <si>
    <t>Αριθμός  m2 που εξοικονομήθηκαν</t>
  </si>
  <si>
    <t>Nombre de m2 économisés</t>
  </si>
  <si>
    <t>Saglabāto m2 skaits</t>
  </si>
  <si>
    <t>Număr de m2 economisiți</t>
  </si>
  <si>
    <t>Identification_Sample7_Text7</t>
  </si>
  <si>
    <t>Number of hours spend on procedures per year * wages/h</t>
  </si>
  <si>
    <t>Anzahl der Stunden, die pro Jahr für Verfahren aufgewendet werden * Löhne/h</t>
  </si>
  <si>
    <t>Numero di ore dedicate alle procedure per anno * salari/h</t>
  </si>
  <si>
    <t>Número de horas dedicadas a los procedimientos al año * salario/h</t>
  </si>
  <si>
    <t>Αριθμός ωρών που δαπανάται για διαδικασίες ανά έτος * μισθοί / ώρα</t>
  </si>
  <si>
    <t>Nombre d'heures consacrées aux procédures par an * salaire/h</t>
  </si>
  <si>
    <t xml:space="preserve">Stundu skaits, kas pavadīts administratīvām procedūrām gadā * algas / h </t>
  </si>
  <si>
    <t>Numărul de ore petrecute pentru proceduri pe an * salarii/h</t>
  </si>
  <si>
    <t>Identification_Sample7_Text8</t>
  </si>
  <si>
    <t>Assets value</t>
  </si>
  <si>
    <t>Vermögenswert / Sachwert</t>
  </si>
  <si>
    <t>Valore delle attività</t>
  </si>
  <si>
    <t>Valor de los activos</t>
  </si>
  <si>
    <t>Αξία περιουσιακών στοιχείων</t>
  </si>
  <si>
    <t>Valeur des actifs</t>
  </si>
  <si>
    <t>Aktīvu vērtība</t>
  </si>
  <si>
    <t>Valoare active</t>
  </si>
  <si>
    <t>Analysis_Header</t>
  </si>
  <si>
    <t xml:space="preserve">#5: NEB Bewertung: Detaillierte Analyse relevanter nicht-energetischer Vorteile </t>
  </si>
  <si>
    <t>#5: Valutazione dei NEB: Analizzare in modo più dettagliato i benefici non energetici più rilevanti</t>
  </si>
  <si>
    <t>#5: Evaluador de BNE: Analice con más detalle los beneficios no energéticos relevantes</t>
  </si>
  <si>
    <t># 5: Αξιολογητής NEB: Αναλύστε τα σχετικά οφέλη εκτός ενέργειας με περισσότερες λεπτομέρειες</t>
  </si>
  <si>
    <t>#5 : Évaluateur de BNE : Analyser plus en détail les bénéfices non énergétiques pertinents</t>
  </si>
  <si>
    <t># 5: Neenerģētikas ieguvumu vērtētājs: Detalizētāk analizējiet ieguvumus</t>
  </si>
  <si>
    <t>#5: Evaluator NEB: Analiza beneficiilor non-energetice relevante mai în detaliu</t>
  </si>
  <si>
    <t>Analysis_Header_Text</t>
  </si>
  <si>
    <t>Führen Sie eine detaillierte Analyse für die von Ihnen ausgewählten und priorisierten NEBs durch. Versuchen Sie, diese qualitativ oder quantitativ zu bewerten und wenn möglich zu monetarisieren. Inwieweit sind andere Stufen in Ihrer Kühlkette von den NEBs betroffen?</t>
  </si>
  <si>
    <t>Iniziare un'analisi dettagliata per i NEB scelti e ritenuti prioritari. Provare a valutarli in modo qualitativo o quantitativo e se possibile monetizzarli. In che misura le altre fasi della vostra catena del freddo sono influenzati dai NEB?</t>
  </si>
  <si>
    <t>Inicie un análisis detallado de los BNE elegidos y priorizados. Intente evaluarlos de forma cualitativa o cuantitativa y monetizarlos si es posible. ¿En qué medida se ven afectadas otras etapas de su cadena de suministro de frío por el BNE?</t>
  </si>
  <si>
    <t>Ξεκινήστε μια λεπτομερή ανάλυση για τα επιλεγμένα και κατά προτεραιότητα NEBs. Προσπαθήστε να τα αξιολογήσετε με ποιοτικό ή ποσοτικό τρόπο και να κατατάξετε ως προς την χρηματική τους απόδοση εάν είναι δυνατόν. Σε ποιο βαθμό επηρεάζονται τα άλλα στάδια της ψυχρής εφοδιαστικής αλυσίδας ψυχρής από το NEB;</t>
  </si>
  <si>
    <t>Commencez une analyse détaillée des BNE que vous avez choisis et classés par ordre de priorité. Essayez de les évaluer de manière qualitative ou quantitative et de les monétiser si possible. Dans quelle mesure les autres étapes de votre chaîne d'approvisionnement en froid sont-elles touchées par le BNE ?</t>
  </si>
  <si>
    <t>Sāciet detalizētu izvēlēto un prioritizēto vietējo tīmekļa vietņu analīzi. Mēģiniet tos novērtēt kvalitatīvi vai kvantitatīvi un, ja iespējams, monetizējiet. Cik lielā mērā ar enerģiju nesaistīti ieguvumi ietekmē citus jūsu saldēto produktu piegādes ķēdes posmus?</t>
  </si>
  <si>
    <t>Începeți o analiză detaliată pentru NEB-urile alese și prioritizate. Încercați să le evaluați într-un mod calitativ sau cantitativ și să le monetizați, dacă este posibil. În ce măsură sunt afectate de NEB alte etape ale lanțului dvs de frig?</t>
  </si>
  <si>
    <t>Analysis_Overview</t>
  </si>
  <si>
    <t>Overview of prioritized NEBs for your EEM</t>
  </si>
  <si>
    <t>Übersicht der ausgewählten NEBs für Ihr EEM</t>
  </si>
  <si>
    <t>Panoramica dei NEB prioritari per la vostra EEM</t>
  </si>
  <si>
    <t>Resumen de los BNE priorizados para su MAE</t>
  </si>
  <si>
    <t>Επισκόπηση των προτεραιοτήτων NEB για το EEM σας</t>
  </si>
  <si>
    <t>Aperçu des BNE priorisés pour votre MEE</t>
  </si>
  <si>
    <t>Pārskats par prioritāriem ieguvumiem jūsu EE pasākumā</t>
  </si>
  <si>
    <t>Prezentare generală a NEB-urilor prioritare pentru EEM dvs</t>
  </si>
  <si>
    <t>Analysis_Overview_Text</t>
  </si>
  <si>
    <t>Below you find an overview of your previously identified NEBs classified by their contribution to the strategy according to value propostion increase, cost decrease and risk reduction for your EEM.</t>
  </si>
  <si>
    <t>Nachstehend finden Sie einen Überblick über Ihre zuvor identifizierten NEBs, die nach ihrem strategischen Beitrag zur Erhöhung des Nutzenversprechens (value proposition), der Kostensenkung und der Risikominderung klassifiziert sind.</t>
  </si>
  <si>
    <t>Di seguito troverete una panoramica dei NEB identificati in precedenza, classificati in base al loro contributo strategico in base all'aumento di valore, alla diminuzione dei costi e alla riduzione dei rischi per la vostra EEM.</t>
  </si>
  <si>
    <t>A continuación encontrará una visión general de sus BNEs previamente identificados, clasificados por su contribución a la estrategia según el aumento de la propuesta de valor, la disminución de los costes y la reducción del riesgo para su MAE.</t>
  </si>
  <si>
    <t>Παρακάτω θα βρείτε μια επισκόπηση των προηγουμένως αναγνωρισμένων NEBs που ταξινομούνται βάσει της συμβολής τους στη στρατηγική σύμφωνα με την αύξηση της αξίας, τη μείωση του κόστους και τη μείωση του κινδύνου για το EEM σας.</t>
  </si>
  <si>
    <t>Vous trouverez ci-dessous une vue d'ensemble des BNE identifiés précédemment, classés selon leur contribution à la stratégie d'augmentation de la proposition de valeur, de réduction des coûts et de réduction des risques pour votre MEE.</t>
  </si>
  <si>
    <t>Zemāk ir sniegts pārskats par jūsu iepriekš identificētajiem ieguvumiem, kas pēc ieguldījuma stratēģijā ir klasificēti atbilstoši vērtības palielināšanas, izmaksu samazināšanas un jūsu EE pasākumu riska samazināšanai.</t>
  </si>
  <si>
    <t>Mai jos găsiți o prezentare generală a NEB-urilor identificate anterior clasificate în funcție de contribuția lor la strategie în funcție de creșterea propunerii de valoare, scăderea costurilor și reducerea riscurilor pentru EEM dvs.</t>
  </si>
  <si>
    <t>Analysis_NEBs_Cost</t>
  </si>
  <si>
    <t>NEBs for cost decrease</t>
  </si>
  <si>
    <t>NEBs zur Kostensenkung</t>
  </si>
  <si>
    <t>NEB per la diminuzione dei costi</t>
  </si>
  <si>
    <t>BNEs para la reducción de costes</t>
  </si>
  <si>
    <t>NEBs για μείωση κόστους</t>
  </si>
  <si>
    <t>BNE pour la réduction des coûts</t>
  </si>
  <si>
    <t>Ieguvumi izmaksu samazināšanai</t>
  </si>
  <si>
    <t>NEB-uri pentru reducere cost</t>
  </si>
  <si>
    <t>Analysis_NEBs_Value</t>
  </si>
  <si>
    <t>NEBs for value proposition increase</t>
  </si>
  <si>
    <t>NEBs zur Erhöhung des Nutzenversprechens (value proposition)</t>
  </si>
  <si>
    <t>NEB per l'aumento della proposta di valore</t>
  </si>
  <si>
    <t>BNEs para el aumento de la propuesta de valor</t>
  </si>
  <si>
    <t>NEBs για αύξηση της πρότασης αξίας</t>
  </si>
  <si>
    <t>BNE pour l'augmentation de la proposition de valeur</t>
  </si>
  <si>
    <t>Ieguvumi vērtības palielināšanai</t>
  </si>
  <si>
    <t>NEB-uri pentru creșterea propunerii de valoare</t>
  </si>
  <si>
    <t>Analysis_NEBs_Risk</t>
  </si>
  <si>
    <t>NEBs for risk reduction</t>
  </si>
  <si>
    <t>NEBs zur Risikominderung</t>
  </si>
  <si>
    <t>NEB per la riduzione del rischio</t>
  </si>
  <si>
    <t>BNEs para la reducción de riesgos</t>
  </si>
  <si>
    <t>NEBs για μείωση κινδύνου</t>
  </si>
  <si>
    <t>BNE pour la réduction des risques</t>
  </si>
  <si>
    <t>Ieguvumi riska samazināšanai</t>
  </si>
  <si>
    <t>NEB-uri pentru reducere risc</t>
  </si>
  <si>
    <t>Analysis_Indepth</t>
  </si>
  <si>
    <t>In-depth analysis of your NEBs</t>
  </si>
  <si>
    <t>Detaillierte Analyse Ihrer NEBs</t>
  </si>
  <si>
    <t>Analisi approfondita dei vostri NEB</t>
  </si>
  <si>
    <t>Análisis en profundidad de sus BNEs</t>
  </si>
  <si>
    <t>Σε βάθος ανάλυση των NEBs σας</t>
  </si>
  <si>
    <t>Analyse approfondie de vos BNEs</t>
  </si>
  <si>
    <t>Padziļināta ar enerģiju nesaistītu ieguvumu analīze</t>
  </si>
  <si>
    <t>Analiza aprofundată a NEB-urilor dvs.</t>
  </si>
  <si>
    <t>Analysis_Indepth_Text</t>
  </si>
  <si>
    <t>For your identified and classified NEBs: Please try to assess the parameters in the table below.</t>
  </si>
  <si>
    <t>Für Ihre identifizierten und klassifizierten NEBs: Bitte versuchen Sie, die Parameter in der nachstehenden Tabelle zu bewerten.</t>
  </si>
  <si>
    <t>Per i NEB identificati e classificati: Cercare di valutare i parametri della tabella sottostante.</t>
  </si>
  <si>
    <t>Para sus BNEs identificados y clasificados: Intente analizar los parámetros de la siguiente tabla.</t>
  </si>
  <si>
    <t>Για τα αναγνωρισμένα και ταξινομημένα NEB σας: Προσπαθήστε να αξιολογήσετε τις παραμέτρους στον παρακάτω πίνακα.</t>
  </si>
  <si>
    <t>Pour vos BNE identifiés et classés : Veuillez essayer d'évaluer les paramètres du tableau ci-dessous.</t>
  </si>
  <si>
    <t>Jūsu identificētajām un klasificētajām ieguvumam: Lūdzu, mēģiniet novērtēt parametrus zemāk esošajā tabulā.</t>
  </si>
  <si>
    <t>Pentru NEB-urile identificate și clasificate: vă rugăm să încercați să evaluați parametrii din tabelul de mai jos.</t>
  </si>
  <si>
    <t>Analysis_Indepth_Key</t>
  </si>
  <si>
    <t xml:space="preserve">Key performance indicator (KPI): </t>
  </si>
  <si>
    <t xml:space="preserve">Key Performance Indicator (KPI): </t>
  </si>
  <si>
    <t>Key performance indicator (KPI):</t>
  </si>
  <si>
    <t xml:space="preserve">Indicador de rendimiento (KPI): </t>
  </si>
  <si>
    <t>Βασικός δείκτης απόδοσης (KPI):</t>
  </si>
  <si>
    <t xml:space="preserve">Indicateur clé de performance (KPI) : </t>
  </si>
  <si>
    <t>Galvenais darbības rādītājs (KPI):</t>
  </si>
  <si>
    <t xml:space="preserve">Indicator de performanță cheie (KPI): </t>
  </si>
  <si>
    <t>Analysis_Indepth_Key_Text</t>
  </si>
  <si>
    <t xml:space="preserve">KPIs are automatically pasted. Adapt to your own indicators to asses the NEB if necessary (column D).
</t>
  </si>
  <si>
    <t xml:space="preserve">KPIs werden automatisch eingefügt. Passen Sie ggf. Ihre eigenen Indikatoren an, um den NEB zu bewerten.
</t>
  </si>
  <si>
    <t>I KPI sono incollati automaticamente. Se necessario adattarli ai propri indicatori per valutare i NEB (colonna D).</t>
  </si>
  <si>
    <t xml:space="preserve">Los KPI se pegan automáticamente. Adapte sus propios indicadores para evaluar el BNE si es necesario (columna D)._x000D_
</t>
  </si>
  <si>
    <t>Τα KPIs επικολλούνται αυτόματα. Προσαρμόστε τους δικούς σας δείκτες για να αξιολογήσετε το NEB εάν είναι απαραίτητο (στήλη D).</t>
  </si>
  <si>
    <t xml:space="preserve"> Les KPI sont collés automatiquement. Adaptez à vos propres indicateurs pour évaluer le BNE si nécessaire (colonne D)._x000D_
</t>
  </si>
  <si>
    <t>KPI tiek automātiski izvēlēti. Pielāgojiet saviem rādītājiem, lai vajadzības gadījumā novērtētu ar enerģiju nesaistītus ieguvumus (kolonna D).</t>
  </si>
  <si>
    <t>KPI-urile sunt lipite automat. Adaptați-vă la proprii indicatori pentru a evalua NEB, dacă este necesar (coloana D).</t>
  </si>
  <si>
    <t>Analysis_Indepth_Data</t>
  </si>
  <si>
    <t>Data source for indicator:</t>
  </si>
  <si>
    <t>Datenquelle für den Indikator:</t>
  </si>
  <si>
    <t>Origine dei dati per l'indicatore:</t>
  </si>
  <si>
    <t>Fuente de datos para el indicador:</t>
  </si>
  <si>
    <t>Πηγή δεδομένων για δείκτη:</t>
  </si>
  <si>
    <t>Source des données de l'indicateur :</t>
  </si>
  <si>
    <t>Datu avots indikatoram:</t>
  </si>
  <si>
    <t>Sursa de date pentru indicator:</t>
  </si>
  <si>
    <t>Analysis_Indepth_Data_Text</t>
  </si>
  <si>
    <t xml:space="preserve">Indicate the source of the data in the company, e.g. department (column E). </t>
  </si>
  <si>
    <t>Geben Sie die Quelle der Daten im Unternehmen an, z.B. Abteilung (Spalte E)</t>
  </si>
  <si>
    <t xml:space="preserve">Indicare l'origine dei dati dell'azienda, per esempio il dipartimento (colonna E). </t>
  </si>
  <si>
    <t xml:space="preserve">Indique la fuente de los datos en la empresa, por ejemplo, el departamento (columna E). </t>
  </si>
  <si>
    <t>Υποδείξτε την πηγή των δεδομένων στην εταιρεία, π.χ. τμήμα (στήλη Ε).</t>
  </si>
  <si>
    <t xml:space="preserve">Indiquez la source des données dans l'entreprise, par exemple le département (colonne E). </t>
  </si>
  <si>
    <t>Norādiet datu avotu uzņēmumā, piem. nodaļa (E sleja).</t>
  </si>
  <si>
    <t>A se indica sursa datelor în cadrul societății, de exemplu departamentul (coloana E).</t>
  </si>
  <si>
    <t>Analysis_Indepth_Impacts</t>
  </si>
  <si>
    <t>Expected impacts:</t>
  </si>
  <si>
    <t>Erwartete Auswirkungen:</t>
  </si>
  <si>
    <t>Impatti previsti:</t>
  </si>
  <si>
    <t>Impactos previstos:</t>
  </si>
  <si>
    <t>Αναμενόμενες επιπτώσεις:</t>
  </si>
  <si>
    <t>Impacts attendus :</t>
  </si>
  <si>
    <t>Paredzamā ietekme:</t>
  </si>
  <si>
    <t>Impacturi așteptate:</t>
  </si>
  <si>
    <t>Analysis_Indepth_Impacts_Text1</t>
  </si>
  <si>
    <t xml:space="preserve">Indicate the impact of the NEB in qualitative or monetary terms if possible (column F).
</t>
  </si>
  <si>
    <t xml:space="preserve">Geben Sie, wenn möglich, die Auswirkungen des NEB in qualitativer oder monetärer Hinsicht an (Spalte F).
</t>
  </si>
  <si>
    <t>Indicare l'impatto del NEB in termini qualitativi o monetari, se possibile (colonna F).</t>
  </si>
  <si>
    <t xml:space="preserve"> Indique el impacto del BNE en términos cualitativos o monetarios si es posible (columna F).
</t>
  </si>
  <si>
    <t>Υποδείξτε τον αντίκτυπο του NEB σε ποιοτικούς ή νομισματικούς όρους, εάν είναι δυνατόν (στήλη F).</t>
  </si>
  <si>
    <t xml:space="preserve"> Indiquez l'impact du BNE en termes qualitatifs ou monétaires si possible (colonne F)._x000D_
_x000D_
</t>
  </si>
  <si>
    <t>Ja iespējams, norādiet ar enerģiju nesaistītu ieguvumu ietekmi kvalitatīvā vai monetārā izteiksmē (F sleja).</t>
  </si>
  <si>
    <t>Se indică impactul NEB în termeni calitativi sau monetari, dacă este posibil (coloana F).</t>
  </si>
  <si>
    <t>Analysis_Indepth_Impacts_Text2</t>
  </si>
  <si>
    <t xml:space="preserve">Geben Sie an, ob und wie andere Stufen der Kühlkette/andere Partner ebenfalls von dem NEB profitieren (Spalte G).
</t>
  </si>
  <si>
    <t>Indicare se e come altri stadi della catena del freddo/altri partner traggono vantaggio dai NEB (colonna G).</t>
  </si>
  <si>
    <t>Indique si otras etapas de la cadena de suministro de frío/otros socios también se benefician del BNE y cómo lo hacen (columna G).</t>
  </si>
  <si>
    <t>Υποδείξτε εάν και πώς άλλα στάδια της ψυχρής εφοδιαστικής αλυσίδας/ άλλοι συνεργάτες κερδίζουν επίσης από το NEB (στήλη G).</t>
  </si>
  <si>
    <t>Indiquez si et comment les autres étapes de la chaîne du froid/les autres partenaires profitent également du BNE (colonne G).</t>
  </si>
  <si>
    <t>Norādiet, vai un kā citi saldētu produktu piegādes ķēdes posmi / citi partneri gūst labumu arī no neenerģētiskiem ieguvumiem (G sleja).</t>
  </si>
  <si>
    <t>A se indica dacă și alte etape ale lanțului de frig/ alți parteneri profită, de asemenea, de NEB (coloana G).</t>
  </si>
  <si>
    <t>Analysis_Area_Costs</t>
  </si>
  <si>
    <t>Area: COSTS</t>
  </si>
  <si>
    <t>Bereich: KOSTEN</t>
  </si>
  <si>
    <t>Area: COSTI</t>
  </si>
  <si>
    <t>Área: COSTES</t>
  </si>
  <si>
    <t>Περιοχή:ΚΟΣΤΗ</t>
  </si>
  <si>
    <t>Domaine : COÛTS</t>
  </si>
  <si>
    <t>Lauciņš: IZMAKSAS</t>
  </si>
  <si>
    <t>Zona: COSTURI</t>
  </si>
  <si>
    <t>Analysis_Area_Costs_Key</t>
  </si>
  <si>
    <t>Key performance indicator 
(overwrite if needed)</t>
  </si>
  <si>
    <t>Key Performance Indicator (KPI)
(bei Bedarf überschreiben)</t>
  </si>
  <si>
    <t>Key performance indicator
(sovrascrivere se necessario)</t>
  </si>
  <si>
    <t>Indicador de rendimiento _x000D_
(sobrescribir si es necesario)</t>
  </si>
  <si>
    <t>Βασικός δείκτης απόδοσης                                                                                                   (αντικατάσταση εάν χρειάζεται)</t>
  </si>
  <si>
    <t xml:space="preserve"> Indicateur clé de performance _x000D_
(écraser si nécessaire) </t>
  </si>
  <si>
    <t>Galvenais darbības rādītājs
(pārrakstiet, ja nepieciešams)</t>
  </si>
  <si>
    <t>Indicator cheie de performanță                                                                        (suprascrieți dacă este necesar)</t>
  </si>
  <si>
    <t>Analysis_Area_Costs_Data</t>
  </si>
  <si>
    <t>Data source for indicator
(e.g. company department)</t>
  </si>
  <si>
    <t>Datenquelle für Indikator
(z.B. Abteilung des Unternehmens)</t>
  </si>
  <si>
    <t>Origine dei dati per l'indicatore
(es. reparto aziendale)</t>
  </si>
  <si>
    <t>Fuente de datos para el indicador_x000D_
(por ejemplo, departamento de la empresa)</t>
  </si>
  <si>
    <t>Πηγή δεδομένων για δείκτη                                                                                                (π.χ. τμήμα εταιρείας)</t>
  </si>
  <si>
    <t>Source de données pour l'indicateur_x000D_
(par exemple, le service de l'entreprise)</t>
  </si>
  <si>
    <t>Datu avots indikatoram
(piem. kompānijas departaments)</t>
  </si>
  <si>
    <t>Sursa de date pentru indicator
(de ex. departament din companie)</t>
  </si>
  <si>
    <t>Analysis_Area_Costs_Impact1</t>
  </si>
  <si>
    <t>Expected impact
 (e.g. in terms of Euro savings)</t>
  </si>
  <si>
    <t xml:space="preserve">Erwartete Auswirkungen
 (z.B. in Form von Einsparungen in Euro)
</t>
  </si>
  <si>
    <t>Impatto previsto
(in termini di Euro risparmiati)</t>
  </si>
  <si>
    <t>Impacto esperado_x000D_
 (por ejemplo, en términos de ahorro en euros)</t>
  </si>
  <si>
    <t>Αναμενόμενος αντίκτυπος                                                                                                          (π.χ. όσον αφορά την εξοικονόμηση ευρώ)</t>
  </si>
  <si>
    <t xml:space="preserve">Impact attendu_x000D_
 (par exemple, en termes d'économies d'euros) </t>
  </si>
  <si>
    <t>Sagaidāmās ietekmes 
(piem. ietaupījums EUR)</t>
  </si>
  <si>
    <t>Impactul preconizat                                                                                                                       (de exemplu, în ceea ce privește economiile în euro)</t>
  </si>
  <si>
    <t>Analysis_Area_Costs_Impact2</t>
  </si>
  <si>
    <t xml:space="preserve">Erwartete Auswirkungen auf Andere in der Kühlkette
</t>
  </si>
  <si>
    <t>Impatto previsto su altro nell'ambito della catena del freddo</t>
  </si>
  <si>
    <t>Impacto esperado en otros integrantes de la cadena de suministro de frío</t>
  </si>
  <si>
    <t>Αναμενόμενος αντίκτυπος σε άλλους στην ψυχρή εφοδιαστική αλυσίδα</t>
  </si>
  <si>
    <t>Impact attendu sur les autres acteurs de la chaîne du froid</t>
  </si>
  <si>
    <t>Paredzamā ietekme uz citiem saldēto produktu piegādes ķēdē</t>
  </si>
  <si>
    <t>Impactul preconizat asupra altora din lanțul de frig</t>
  </si>
  <si>
    <t>Analysis_Area_Value</t>
  </si>
  <si>
    <t>Area: VALUE PROPOSITION</t>
  </si>
  <si>
    <t>Bereich: Nutzenversprechen (value proposition)</t>
  </si>
  <si>
    <t>Area: PROPOSTA DI VALORE</t>
  </si>
  <si>
    <t>Área: PROPUESTA DE VALOR</t>
  </si>
  <si>
    <t>Περιοχή: ΠΡΟΤΑΣΗ ΑΞΙΑΣ</t>
  </si>
  <si>
    <t>Domaine : PROPOSITION DE VALEUR</t>
  </si>
  <si>
    <t>Lauciņš: VĒRTĪBAS PRIEKŠLIKUMS</t>
  </si>
  <si>
    <t>Zona: PROPUNEREA DE VALOARE</t>
  </si>
  <si>
    <t>Analysis_Area_Risks</t>
  </si>
  <si>
    <t>Area: RISKS</t>
  </si>
  <si>
    <t>Bereich: Risiko</t>
  </si>
  <si>
    <t>Area: RISCHI</t>
  </si>
  <si>
    <t>Área: RIESGOS</t>
  </si>
  <si>
    <t>Περιοχή: ΚΙΝΔΥΝΟΙ</t>
  </si>
  <si>
    <t>Domaine : RISQUES</t>
  </si>
  <si>
    <t>Lauciņš: RISKS</t>
  </si>
  <si>
    <t>Zona : RISCURI</t>
  </si>
  <si>
    <t>Hidden_Lists_Header</t>
  </si>
  <si>
    <t>#5: NEB Bewertung: Listen</t>
  </si>
  <si>
    <t>#5: Valutazione dei NEB: Elenco</t>
  </si>
  <si>
    <t>#5: Evaluador de BNE: Listas</t>
  </si>
  <si>
    <t># 5: Αξιολογητής NEB: Λίστες</t>
  </si>
  <si>
    <t>#5 : Évaluateur du BNE : Listes</t>
  </si>
  <si>
    <t># 5: Ieguvumu vērtētājs: saraksti</t>
  </si>
  <si>
    <t>#5: Evaluator NEB: Liste</t>
  </si>
  <si>
    <t>Hidden_Lists_Strategic</t>
  </si>
  <si>
    <t>Strategic Importance</t>
  </si>
  <si>
    <t>Strategische Bedeutung</t>
  </si>
  <si>
    <t>Importanza strategica</t>
  </si>
  <si>
    <t>Importancia estratégica</t>
  </si>
  <si>
    <t xml:space="preserve">Στρατηγική Σημασία  </t>
  </si>
  <si>
    <t>Importance stratégique</t>
  </si>
  <si>
    <t>Stratēģiskā nozīme</t>
  </si>
  <si>
    <t>Importanța Strategică</t>
  </si>
  <si>
    <t>Hidden_Lists_Strategic_none</t>
  </si>
  <si>
    <t>none</t>
  </si>
  <si>
    <t>keine</t>
  </si>
  <si>
    <t>nessuno</t>
  </si>
  <si>
    <t>ninguna</t>
  </si>
  <si>
    <t>καμία</t>
  </si>
  <si>
    <t>aucune</t>
  </si>
  <si>
    <t>nav</t>
  </si>
  <si>
    <t>niciuna</t>
  </si>
  <si>
    <t>Hidden_Lists_Strategic_low</t>
  </si>
  <si>
    <t>low</t>
  </si>
  <si>
    <t>gering</t>
  </si>
  <si>
    <t>basso</t>
  </si>
  <si>
    <t>baja</t>
  </si>
  <si>
    <t>χαμηλή</t>
  </si>
  <si>
    <t>faible</t>
  </si>
  <si>
    <t>zema</t>
  </si>
  <si>
    <t>scăzută</t>
  </si>
  <si>
    <t>Hidden_Lists_Strategic_medium</t>
  </si>
  <si>
    <t>medium</t>
  </si>
  <si>
    <t>mittel</t>
  </si>
  <si>
    <t>medio</t>
  </si>
  <si>
    <t>media</t>
  </si>
  <si>
    <t>μεσαία</t>
  </si>
  <si>
    <t>moyenne</t>
  </si>
  <si>
    <t>vidēja</t>
  </si>
  <si>
    <t>medie</t>
  </si>
  <si>
    <t>Hidden_Lists_Strategic_high</t>
  </si>
  <si>
    <t>high</t>
  </si>
  <si>
    <t>hoch</t>
  </si>
  <si>
    <t>alta</t>
  </si>
  <si>
    <t>υψηλή</t>
  </si>
  <si>
    <t>élevée</t>
  </si>
  <si>
    <t>augsta</t>
  </si>
  <si>
    <t>înaltă</t>
  </si>
  <si>
    <t>Hidden_Lists_Nature</t>
  </si>
  <si>
    <t>Nature of data</t>
  </si>
  <si>
    <t>Art der Daten</t>
  </si>
  <si>
    <t>Natura dei dati</t>
  </si>
  <si>
    <t>Naturaleza de los datos</t>
  </si>
  <si>
    <t>Φύση των δεδομένων</t>
  </si>
  <si>
    <t>Nature des données</t>
  </si>
  <si>
    <t>Dati tips</t>
  </si>
  <si>
    <t>Natura datelor</t>
  </si>
  <si>
    <t>Hidden_Lists_Nature_quantitative</t>
  </si>
  <si>
    <t>quantitative</t>
  </si>
  <si>
    <t>quantitativ</t>
  </si>
  <si>
    <t>quantitativo</t>
  </si>
  <si>
    <t>cuantitativo</t>
  </si>
  <si>
    <t>ποσοτική</t>
  </si>
  <si>
    <t>kvantitatīvi</t>
  </si>
  <si>
    <t>cantitative</t>
  </si>
  <si>
    <t>Hidden_Lists_Nature_qualitative</t>
  </si>
  <si>
    <t>qualitative</t>
  </si>
  <si>
    <t>qualitativ</t>
  </si>
  <si>
    <t>qualitativa</t>
  </si>
  <si>
    <t>cualitativa</t>
  </si>
  <si>
    <t>ποιοτική</t>
  </si>
  <si>
    <t>qualitatives</t>
  </si>
  <si>
    <t>kvalitatīvi</t>
  </si>
  <si>
    <t>calitative</t>
  </si>
  <si>
    <t>Hidden_Lists_NEB</t>
  </si>
  <si>
    <t>NEB in CSC</t>
  </si>
  <si>
    <t>NEB in Kühlkette</t>
  </si>
  <si>
    <t>NEB nella catena del freddo</t>
  </si>
  <si>
    <t>BNE en la cadena de frío</t>
  </si>
  <si>
    <t>NEB σε CSC</t>
  </si>
  <si>
    <t>BNE dans les CSC</t>
  </si>
  <si>
    <t>Ar enerģiju nesaistīti ieguvumi saldēto produktu piegādes ķēdē</t>
  </si>
  <si>
    <t>NEB în CSC</t>
  </si>
  <si>
    <t>Hidden_Lists_NEB_none</t>
  </si>
  <si>
    <t>ninguno</t>
  </si>
  <si>
    <t>Hidden_Lists_NEB_low</t>
  </si>
  <si>
    <t>bajo</t>
  </si>
  <si>
    <t>zemi</t>
  </si>
  <si>
    <t>Hidden_Lists_NEB_high</t>
  </si>
  <si>
    <t>alto</t>
  </si>
  <si>
    <t>augsti</t>
  </si>
  <si>
    <t>1.0</t>
  </si>
  <si>
    <t>Tool release</t>
  </si>
  <si>
    <t>BETTED project</t>
  </si>
  <si>
    <t>Boosting Energy Transition of the Dairy value chain (BETTED project)</t>
  </si>
  <si>
    <t>#7: NEB Evaluator: Info</t>
  </si>
  <si>
    <t>#7: NEB Evaluator: Versions</t>
  </si>
  <si>
    <t>#7: NEB Evaluator: Identify relevant non-energy benefits for your energy efficiency measure</t>
  </si>
  <si>
    <t>#7: NEB Evaluator: Analyse relevant non-energy benefits in more detail</t>
  </si>
  <si>
    <t>#7: NEB Evaluator: Lists</t>
  </si>
  <si>
    <t>The aim of this tool is to introduce possible NEBs of energy efficieny measures, their classification and their strategical assessement in the decision-making process of an EEM. Another focus of the tool is to assess NEBs not only from an individual company perspective but also along the whole dairy supply chain.</t>
  </si>
  <si>
    <t>Energy efficiency measures (EEMs) can entail, additionally to the evident energy savings, non-energy related benefits (NEBs), such as enhanced competitiveness, reduced maintenance requirements or an improved working environment. A sample dairy supply chain consists of several stages from the raw material supplier to the retailer. In the following you are invited to analyze an exemplary EEM implemented in your company or supply chain and consider the positive effects for you and other stages of your chain.</t>
  </si>
  <si>
    <t>Choose and describe a recently implemented EEM in your company if available. If no recent measures have been implemented choose a hypothetical measure on the basis of your experience. Please consider whether there are already implemented or planned energy saving projects in cooperation with other members of your dairy supply chain that could be interesting for an evaluation.</t>
  </si>
  <si>
    <t xml:space="preserve">For your chosen EEM: Please go through the three steps below, i.e. identify relevant NEBs and evaluate and analyse their importance for the strategy of your company respectively dairy supply chain. </t>
  </si>
  <si>
    <t>Start a detailed analysis for your chosen and prioritized NEBs. Try to assess them in a qualitative or quantitative way and monetise them if possible. To which extent are other stages in your dairy supply chain affected by the NEB?</t>
  </si>
  <si>
    <t>Indicate if and how other stages of the dairy supply chain/ other partners do also profit from the NEB (column G).</t>
  </si>
  <si>
    <t>Expected impact on others in the dairy supply chain</t>
  </si>
  <si>
    <t>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consent of the owner of the trademark. The sole responsibility for the document lies with the project. The document does not necessarily reflect the opinion of the European Union. Neither the CINEA nor the European Commission is responsible for any use that may be made of the information contained therein. The English version of the copyright is authoritative. Versions in other languages are for information purposes only.</t>
  </si>
  <si>
    <t>Important note: Please choose your language before adding any data to the empty tool and  do not change the language there later. Otherwise, issues may occur due to drop-down fields not updating automatically to the new language setting.</t>
  </si>
  <si>
    <t>Field is an input field and requires input from the user.</t>
  </si>
  <si>
    <t>Supply chain managers &amp; environmental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</si>
</sst>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2"/>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color theme="0"/>
      <name val="Calibri"/>
      <family val="2"/>
      <scheme val="minor"/>
    </font>
    <font>
      <sz val="11"/>
      <color indexed="8"/>
      <name val="Calibri"/>
      <family val="2"/>
      <charset val="1"/>
    </font>
    <font>
      <sz val="12"/>
      <color theme="1"/>
      <name val="Calibri"/>
      <family val="2"/>
    </font>
    <font>
      <b/>
      <sz val="14"/>
      <color rgb="FFFFFFFF"/>
      <name val="Calibri"/>
      <family val="2"/>
    </font>
    <font>
      <sz val="11"/>
      <color rgb="FF000000"/>
      <name val="Calibri"/>
      <family val="2"/>
    </font>
    <font>
      <sz val="11"/>
      <color rgb="FFFF0000"/>
      <name val="Calibri"/>
      <family val="2"/>
    </font>
    <font>
      <b/>
      <sz val="11"/>
      <color rgb="FFFAA61A"/>
      <name val="Calibri"/>
      <family val="2"/>
    </font>
    <font>
      <b/>
      <sz val="11"/>
      <color rgb="FFFFFFFF"/>
      <name val="Calibri"/>
      <family val="2"/>
    </font>
    <font>
      <b/>
      <sz val="11"/>
      <color rgb="FF000000"/>
      <name val="Calibri"/>
      <family val="2"/>
    </font>
    <font>
      <b/>
      <sz val="11"/>
      <color theme="0"/>
      <name val="Calibri"/>
      <family val="2"/>
    </font>
    <font>
      <sz val="11"/>
      <color rgb="FFFF0000"/>
      <name val="Calibri"/>
      <family val="2"/>
      <scheme val="minor"/>
    </font>
    <font>
      <b/>
      <sz val="11"/>
      <color theme="1"/>
      <name val="Calibri"/>
      <family val="2"/>
      <scheme val="minor"/>
    </font>
    <font>
      <sz val="11"/>
      <color theme="0"/>
      <name val="Calibri"/>
      <family val="2"/>
    </font>
    <font>
      <sz val="14"/>
      <color rgb="FF72BF44"/>
      <name val="Calibri"/>
      <family val="2"/>
    </font>
    <font>
      <b/>
      <sz val="14"/>
      <color theme="4"/>
      <name val="Calibri"/>
      <family val="2"/>
    </font>
    <font>
      <sz val="11"/>
      <color theme="1"/>
      <name val="Calibri"/>
      <family val="2"/>
    </font>
    <font>
      <sz val="11"/>
      <name val="Calibri"/>
      <family val="2"/>
    </font>
    <font>
      <sz val="12"/>
      <color theme="1"/>
      <name val="Calibri"/>
      <family val="2"/>
      <scheme val="minor"/>
    </font>
    <font>
      <b/>
      <sz val="11"/>
      <color rgb="FFFF0000"/>
      <name val="Calibri"/>
      <family val="2"/>
    </font>
    <font>
      <b/>
      <sz val="11"/>
      <name val="Calibri"/>
      <family val="2"/>
    </font>
    <font>
      <sz val="12"/>
      <color theme="1"/>
      <name val="Arial"/>
      <family val="2"/>
    </font>
  </fonts>
  <fills count="1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4"/>
        <bgColor rgb="FF000000"/>
      </patternFill>
    </fill>
    <fill>
      <patternFill patternType="solid">
        <fgColor theme="4" tint="0.79998168889431442"/>
        <bgColor rgb="FF000000"/>
      </patternFill>
    </fill>
    <fill>
      <patternFill patternType="solid">
        <fgColor theme="4"/>
        <bgColor indexed="64"/>
      </patternFill>
    </fill>
    <fill>
      <patternFill patternType="solid">
        <fgColor theme="0" tint="-0.499984740745262"/>
        <bgColor indexed="64"/>
      </patternFill>
    </fill>
    <fill>
      <patternFill patternType="solid">
        <fgColor theme="0" tint="-4.9989318521683403E-2"/>
        <bgColor rgb="FF000000"/>
      </patternFill>
    </fill>
    <fill>
      <patternFill patternType="solid">
        <fgColor theme="2"/>
        <bgColor rgb="FF000000"/>
      </patternFill>
    </fill>
    <fill>
      <patternFill patternType="solid">
        <fgColor theme="0" tint="-0.14999847407452621"/>
        <bgColor rgb="FF000000"/>
      </patternFill>
    </fill>
    <fill>
      <patternFill patternType="solid">
        <fgColor theme="4" tint="0.59999389629810485"/>
        <bgColor indexed="64"/>
      </patternFill>
    </fill>
    <fill>
      <patternFill patternType="solid">
        <fgColor theme="4" tint="0.59999389629810485"/>
        <bgColor rgb="FF000000"/>
      </patternFill>
    </fill>
    <fill>
      <patternFill patternType="solid">
        <fgColor theme="0" tint="-0.249977111117893"/>
        <bgColor rgb="FF000000"/>
      </patternFill>
    </fill>
    <fill>
      <patternFill patternType="solid">
        <fgColor theme="4" tint="0.39997558519241921"/>
        <bgColor rgb="FF000000"/>
      </patternFill>
    </fill>
    <fill>
      <patternFill patternType="solid">
        <fgColor theme="4" tint="0.39997558519241921"/>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72BF44"/>
      </top>
      <bottom/>
      <diagonal/>
    </border>
    <border>
      <left/>
      <right/>
      <top/>
      <bottom style="thin">
        <color theme="4"/>
      </bottom>
      <diagonal/>
    </border>
    <border>
      <left/>
      <right style="thin">
        <color indexed="64"/>
      </right>
      <top/>
      <bottom/>
      <diagonal/>
    </border>
  </borders>
  <cellStyleXfs count="4">
    <xf numFmtId="0" fontId="0" fillId="0" borderId="0"/>
    <xf numFmtId="0" fontId="5" fillId="0" borderId="0"/>
    <xf numFmtId="0" fontId="21" fillId="0" borderId="0"/>
    <xf numFmtId="0" fontId="24" fillId="0" borderId="0"/>
  </cellStyleXfs>
  <cellXfs count="126">
    <xf numFmtId="0" fontId="0" fillId="0" borderId="0" xfId="0"/>
    <xf numFmtId="0" fontId="0" fillId="2" borderId="0" xfId="0" applyFill="1"/>
    <xf numFmtId="0" fontId="8" fillId="3" borderId="0" xfId="0" applyFont="1" applyFill="1" applyAlignment="1">
      <alignment vertical="top"/>
    </xf>
    <xf numFmtId="0" fontId="8" fillId="3" borderId="0" xfId="0" applyFont="1" applyFill="1" applyAlignment="1">
      <alignment vertical="top" wrapText="1"/>
    </xf>
    <xf numFmtId="0" fontId="8" fillId="3" borderId="0" xfId="0" applyFont="1" applyFill="1"/>
    <xf numFmtId="2" fontId="8" fillId="3" borderId="0" xfId="0" applyNumberFormat="1" applyFont="1" applyFill="1" applyAlignment="1">
      <alignment horizontal="left" vertical="top"/>
    </xf>
    <xf numFmtId="0" fontId="10" fillId="3" borderId="0" xfId="0" applyFont="1" applyFill="1" applyAlignment="1">
      <alignment vertical="top"/>
    </xf>
    <xf numFmtId="14" fontId="6" fillId="3" borderId="0" xfId="0" applyNumberFormat="1" applyFont="1" applyFill="1" applyAlignment="1">
      <alignment horizontal="left" vertical="top"/>
    </xf>
    <xf numFmtId="0" fontId="6" fillId="3" borderId="0" xfId="0" applyFont="1" applyFill="1" applyAlignment="1">
      <alignment vertical="top" wrapText="1"/>
    </xf>
    <xf numFmtId="0" fontId="6" fillId="3" borderId="0" xfId="0" applyFont="1" applyFill="1" applyAlignment="1">
      <alignment horizontal="left" vertical="top"/>
    </xf>
    <xf numFmtId="0" fontId="6" fillId="3" borderId="0" xfId="0" applyFont="1" applyFill="1"/>
    <xf numFmtId="0" fontId="8" fillId="3" borderId="0" xfId="0" applyFont="1" applyFill="1" applyAlignment="1">
      <alignment vertical="center"/>
    </xf>
    <xf numFmtId="0" fontId="8" fillId="3" borderId="5" xfId="0" applyFont="1" applyFill="1" applyBorder="1" applyAlignment="1">
      <alignment vertical="center" wrapText="1"/>
    </xf>
    <xf numFmtId="0" fontId="8" fillId="3" borderId="5" xfId="0" applyFont="1" applyFill="1" applyBorder="1" applyAlignment="1">
      <alignment vertical="center"/>
    </xf>
    <xf numFmtId="0" fontId="9" fillId="3" borderId="0" xfId="0" applyFont="1" applyFill="1" applyAlignment="1">
      <alignment vertical="center"/>
    </xf>
    <xf numFmtId="0" fontId="8" fillId="3" borderId="0" xfId="0" applyFont="1" applyFill="1" applyAlignment="1">
      <alignment horizontal="left" vertical="center"/>
    </xf>
    <xf numFmtId="0" fontId="8" fillId="4" borderId="0" xfId="0" applyFont="1" applyFill="1" applyAlignment="1">
      <alignment vertical="center"/>
    </xf>
    <xf numFmtId="0" fontId="8" fillId="3" borderId="0" xfId="0" applyFont="1" applyFill="1" applyAlignment="1">
      <alignment horizontal="left" vertical="top" wrapText="1"/>
    </xf>
    <xf numFmtId="0" fontId="16" fillId="3" borderId="0" xfId="0" applyFont="1" applyFill="1" applyAlignment="1">
      <alignment vertical="center"/>
    </xf>
    <xf numFmtId="0" fontId="8" fillId="4" borderId="0" xfId="0" applyFont="1" applyFill="1" applyAlignment="1">
      <alignment vertical="top"/>
    </xf>
    <xf numFmtId="0" fontId="12" fillId="3" borderId="0" xfId="0" applyFont="1" applyFill="1" applyAlignment="1">
      <alignment vertical="top"/>
    </xf>
    <xf numFmtId="0" fontId="2" fillId="2" borderId="0" xfId="0" applyFont="1" applyFill="1" applyAlignment="1">
      <alignment vertical="top"/>
    </xf>
    <xf numFmtId="0" fontId="12" fillId="4" borderId="0" xfId="0" applyFont="1" applyFill="1" applyAlignment="1">
      <alignment vertical="center"/>
    </xf>
    <xf numFmtId="0" fontId="8" fillId="5" borderId="0" xfId="0" applyFont="1" applyFill="1" applyAlignment="1">
      <alignment vertical="center"/>
    </xf>
    <xf numFmtId="0" fontId="8" fillId="5" borderId="0" xfId="0" applyFont="1" applyFill="1" applyAlignment="1">
      <alignment vertical="top"/>
    </xf>
    <xf numFmtId="0" fontId="17" fillId="3" borderId="0" xfId="0" applyFont="1" applyFill="1" applyAlignment="1">
      <alignment vertical="top"/>
    </xf>
    <xf numFmtId="0" fontId="12" fillId="3" borderId="0" xfId="0" applyFont="1" applyFill="1" applyAlignment="1">
      <alignment vertical="top" wrapText="1"/>
    </xf>
    <xf numFmtId="0" fontId="7" fillId="5" borderId="0" xfId="0" applyFont="1" applyFill="1"/>
    <xf numFmtId="0" fontId="8" fillId="3" borderId="0" xfId="0" applyFont="1" applyFill="1" applyAlignment="1">
      <alignment vertical="center" wrapText="1"/>
    </xf>
    <xf numFmtId="0" fontId="18" fillId="3" borderId="6" xfId="0" applyFont="1" applyFill="1" applyBorder="1" applyAlignment="1">
      <alignment vertical="top"/>
    </xf>
    <xf numFmtId="0" fontId="3" fillId="2" borderId="0" xfId="0" applyFont="1" applyFill="1" applyAlignment="1">
      <alignment horizontal="center" vertical="top" wrapText="1"/>
    </xf>
    <xf numFmtId="0" fontId="6" fillId="6" borderId="1" xfId="0" applyFont="1" applyFill="1" applyBorder="1" applyAlignment="1">
      <alignment horizontal="left" vertical="top"/>
    </xf>
    <xf numFmtId="3" fontId="8" fillId="2" borderId="0" xfId="0" applyNumberFormat="1" applyFont="1" applyFill="1" applyAlignment="1">
      <alignment horizontal="center" vertical="center"/>
    </xf>
    <xf numFmtId="0" fontId="8" fillId="7" borderId="0" xfId="0" applyFont="1" applyFill="1" applyAlignment="1">
      <alignment vertical="center"/>
    </xf>
    <xf numFmtId="0" fontId="8" fillId="2" borderId="0" xfId="0" applyFont="1" applyFill="1" applyAlignment="1">
      <alignment vertical="center"/>
    </xf>
    <xf numFmtId="0" fontId="13" fillId="2" borderId="0" xfId="0" applyFont="1" applyFill="1" applyAlignment="1">
      <alignment vertical="center"/>
    </xf>
    <xf numFmtId="0" fontId="4" fillId="2" borderId="0" xfId="0" applyFont="1" applyFill="1" applyAlignment="1">
      <alignment horizontal="center" vertical="center" textRotation="90"/>
    </xf>
    <xf numFmtId="0" fontId="8" fillId="2" borderId="0" xfId="0" applyFont="1" applyFill="1" applyAlignment="1">
      <alignment horizontal="left" vertical="top" wrapText="1"/>
    </xf>
    <xf numFmtId="0" fontId="9" fillId="3" borderId="0" xfId="0" applyFont="1" applyFill="1" applyAlignment="1">
      <alignment horizontal="left" vertical="top" wrapText="1"/>
    </xf>
    <xf numFmtId="0" fontId="14" fillId="2" borderId="0" xfId="0" applyFont="1" applyFill="1"/>
    <xf numFmtId="0" fontId="19" fillId="2" borderId="0" xfId="0" applyFont="1" applyFill="1" applyAlignment="1">
      <alignment horizontal="left" vertical="top"/>
    </xf>
    <xf numFmtId="0" fontId="19" fillId="4" borderId="0" xfId="0" applyFont="1" applyFill="1" applyAlignment="1">
      <alignment horizontal="left" vertical="top"/>
    </xf>
    <xf numFmtId="0" fontId="8" fillId="4" borderId="0" xfId="0" applyFont="1" applyFill="1" applyAlignment="1">
      <alignment horizontal="left" vertical="top" wrapText="1"/>
    </xf>
    <xf numFmtId="0" fontId="9" fillId="3" borderId="0" xfId="0" applyFont="1" applyFill="1" applyAlignment="1">
      <alignment vertical="top"/>
    </xf>
    <xf numFmtId="0" fontId="9" fillId="3" borderId="0" xfId="0" applyFont="1" applyFill="1" applyAlignment="1">
      <alignment horizontal="center" vertical="top" wrapText="1"/>
    </xf>
    <xf numFmtId="2" fontId="8" fillId="9" borderId="0" xfId="0" applyNumberFormat="1" applyFont="1" applyFill="1" applyAlignment="1">
      <alignment horizontal="left" vertical="top"/>
    </xf>
    <xf numFmtId="2" fontId="20" fillId="9" borderId="0" xfId="0" applyNumberFormat="1" applyFont="1" applyFill="1" applyAlignment="1">
      <alignment horizontal="left" vertical="top"/>
    </xf>
    <xf numFmtId="0" fontId="6" fillId="4" borderId="0" xfId="0" applyFont="1" applyFill="1"/>
    <xf numFmtId="0" fontId="8" fillId="10" borderId="0" xfId="0" applyFont="1" applyFill="1" applyAlignment="1">
      <alignment vertical="top" wrapText="1"/>
    </xf>
    <xf numFmtId="0" fontId="8" fillId="9" borderId="0" xfId="0" applyFont="1" applyFill="1" applyAlignment="1">
      <alignment vertical="top"/>
    </xf>
    <xf numFmtId="0" fontId="7" fillId="5" borderId="0" xfId="0" applyFont="1" applyFill="1" applyAlignment="1">
      <alignment vertical="top"/>
    </xf>
    <xf numFmtId="0" fontId="11" fillId="5" borderId="0" xfId="0" applyFont="1" applyFill="1" applyAlignment="1">
      <alignment horizontal="left" vertical="top"/>
    </xf>
    <xf numFmtId="0" fontId="8" fillId="5" borderId="0" xfId="0" applyFont="1" applyFill="1" applyAlignment="1">
      <alignment vertical="top" wrapText="1"/>
    </xf>
    <xf numFmtId="0" fontId="8" fillId="5" borderId="0" xfId="0" applyFont="1" applyFill="1"/>
    <xf numFmtId="0" fontId="11" fillId="5" borderId="0" xfId="0" applyFont="1" applyFill="1" applyAlignment="1">
      <alignment horizontal="left" vertical="top" wrapText="1"/>
    </xf>
    <xf numFmtId="0" fontId="11" fillId="5" borderId="0" xfId="0" applyFont="1" applyFill="1" applyAlignment="1">
      <alignment horizontal="left"/>
    </xf>
    <xf numFmtId="0" fontId="8" fillId="3" borderId="0" xfId="0" quotePrefix="1" applyFont="1" applyFill="1" applyAlignment="1">
      <alignment vertical="top" wrapText="1"/>
    </xf>
    <xf numFmtId="0" fontId="20" fillId="3" borderId="0" xfId="0" applyFont="1" applyFill="1" applyAlignment="1">
      <alignment vertical="top"/>
    </xf>
    <xf numFmtId="0" fontId="16" fillId="10" borderId="0" xfId="0" applyFont="1" applyFill="1" applyAlignment="1">
      <alignment vertical="center"/>
    </xf>
    <xf numFmtId="0" fontId="19" fillId="13" borderId="1" xfId="0" applyFont="1" applyFill="1" applyBorder="1" applyAlignment="1" applyProtection="1">
      <alignment horizontal="left" vertical="top" wrapText="1"/>
      <protection locked="0"/>
    </xf>
    <xf numFmtId="3" fontId="8" fillId="6" borderId="1" xfId="0" applyNumberFormat="1" applyFont="1" applyFill="1" applyBorder="1" applyAlignment="1" applyProtection="1">
      <alignment horizontal="center" vertical="center"/>
      <protection locked="0"/>
    </xf>
    <xf numFmtId="3" fontId="8" fillId="4"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0" fontId="19" fillId="13" borderId="1" xfId="0" applyFont="1" applyFill="1" applyBorder="1" applyAlignment="1" applyProtection="1">
      <alignment horizontal="left" vertical="top"/>
      <protection locked="0"/>
    </xf>
    <xf numFmtId="3" fontId="19" fillId="13" borderId="1" xfId="0" applyNumberFormat="1" applyFont="1" applyFill="1" applyBorder="1" applyAlignment="1" applyProtection="1">
      <alignment horizontal="left" vertical="top" wrapText="1"/>
      <protection locked="0"/>
    </xf>
    <xf numFmtId="0" fontId="8" fillId="11" borderId="0" xfId="0" applyFont="1" applyFill="1" applyAlignment="1">
      <alignment vertical="top"/>
    </xf>
    <xf numFmtId="0" fontId="8" fillId="14" borderId="0" xfId="0" applyFont="1" applyFill="1" applyAlignment="1">
      <alignment vertical="top"/>
    </xf>
    <xf numFmtId="0" fontId="13" fillId="15" borderId="0" xfId="0" applyFont="1" applyFill="1" applyAlignment="1">
      <alignment horizontal="center" vertical="center"/>
    </xf>
    <xf numFmtId="0" fontId="13" fillId="15" borderId="0" xfId="0" applyFont="1" applyFill="1" applyAlignment="1">
      <alignment horizontal="center" vertical="center" wrapText="1"/>
    </xf>
    <xf numFmtId="0" fontId="13" fillId="5" borderId="0" xfId="0" applyFont="1" applyFill="1" applyAlignment="1">
      <alignment vertical="center"/>
    </xf>
    <xf numFmtId="0" fontId="16" fillId="5" borderId="0" xfId="0" applyFont="1" applyFill="1" applyAlignment="1">
      <alignment vertical="center"/>
    </xf>
    <xf numFmtId="0" fontId="13" fillId="15" borderId="0" xfId="0" applyFont="1" applyFill="1" applyAlignment="1">
      <alignment horizontal="left" vertical="center"/>
    </xf>
    <xf numFmtId="0" fontId="13" fillId="15" borderId="0" xfId="0" applyFont="1" applyFill="1" applyAlignment="1">
      <alignment vertical="top"/>
    </xf>
    <xf numFmtId="0" fontId="13" fillId="15" borderId="0" xfId="0" applyFont="1" applyFill="1" applyAlignment="1">
      <alignment horizontal="center" vertical="top"/>
    </xf>
    <xf numFmtId="0" fontId="3" fillId="12" borderId="0" xfId="0" applyFont="1" applyFill="1" applyAlignment="1">
      <alignment horizontal="left" vertical="top"/>
    </xf>
    <xf numFmtId="0" fontId="23" fillId="13" borderId="0" xfId="0" applyFont="1" applyFill="1" applyAlignment="1">
      <alignment horizontal="left" vertical="top" wrapText="1"/>
    </xf>
    <xf numFmtId="0" fontId="8" fillId="2" borderId="0" xfId="0" applyFont="1" applyFill="1" applyAlignment="1">
      <alignment vertical="top" wrapText="1"/>
    </xf>
    <xf numFmtId="0" fontId="4" fillId="7" borderId="0" xfId="0" applyFont="1" applyFill="1" applyAlignment="1">
      <alignment horizontal="left" vertical="top"/>
    </xf>
    <xf numFmtId="0" fontId="15" fillId="2" borderId="0" xfId="2" applyFont="1" applyFill="1" applyAlignment="1">
      <alignment vertical="top"/>
    </xf>
    <xf numFmtId="0" fontId="11" fillId="4" borderId="0" xfId="0" applyFont="1" applyFill="1" applyAlignment="1">
      <alignment horizontal="left"/>
    </xf>
    <xf numFmtId="0" fontId="8" fillId="4" borderId="0" xfId="0" applyFont="1" applyFill="1"/>
    <xf numFmtId="0" fontId="18" fillId="3" borderId="0" xfId="0" applyFont="1" applyFill="1" applyAlignment="1">
      <alignment vertical="top"/>
    </xf>
    <xf numFmtId="0" fontId="9" fillId="3" borderId="0" xfId="0" applyFont="1" applyFill="1" applyAlignment="1">
      <alignment vertical="top" wrapText="1"/>
    </xf>
    <xf numFmtId="0" fontId="20" fillId="3" borderId="0" xfId="0" applyFont="1" applyFill="1" applyAlignment="1">
      <alignment vertical="top" wrapText="1"/>
    </xf>
    <xf numFmtId="0" fontId="3" fillId="2" borderId="0" xfId="0" applyFont="1" applyFill="1" applyAlignment="1">
      <alignment vertical="top" wrapText="1"/>
    </xf>
    <xf numFmtId="0" fontId="8" fillId="3" borderId="0" xfId="0" applyFont="1" applyFill="1" applyAlignment="1">
      <alignment wrapText="1"/>
    </xf>
    <xf numFmtId="0" fontId="20" fillId="3" borderId="0" xfId="0" applyFont="1" applyFill="1" applyAlignment="1">
      <alignment wrapText="1"/>
    </xf>
    <xf numFmtId="0" fontId="0" fillId="2" borderId="0" xfId="0" applyFill="1" applyAlignment="1">
      <alignment vertical="top" wrapText="1"/>
    </xf>
    <xf numFmtId="0" fontId="15" fillId="2" borderId="0" xfId="2" applyFont="1" applyFill="1" applyAlignment="1">
      <alignment vertical="top" wrapText="1"/>
    </xf>
    <xf numFmtId="0" fontId="4" fillId="8" borderId="0" xfId="0" applyFont="1" applyFill="1" applyAlignment="1">
      <alignment horizontal="center" vertical="center" wrapText="1"/>
    </xf>
    <xf numFmtId="14" fontId="8" fillId="3" borderId="0" xfId="0" quotePrefix="1" applyNumberFormat="1" applyFont="1" applyFill="1" applyAlignment="1">
      <alignment horizontal="left" vertical="top"/>
    </xf>
    <xf numFmtId="0" fontId="1" fillId="2" borderId="0" xfId="0" applyFont="1" applyFill="1" applyAlignment="1">
      <alignment vertical="top" wrapText="1"/>
    </xf>
    <xf numFmtId="0" fontId="1" fillId="2" borderId="0" xfId="0" applyFont="1" applyFill="1" applyAlignment="1">
      <alignment horizontal="left" vertical="top"/>
    </xf>
    <xf numFmtId="0" fontId="1" fillId="2" borderId="0" xfId="0" applyFont="1" applyFill="1" applyAlignment="1">
      <alignment vertical="top"/>
    </xf>
    <xf numFmtId="2" fontId="1" fillId="2" borderId="0" xfId="0" applyNumberFormat="1" applyFont="1" applyFill="1" applyAlignment="1">
      <alignment horizontal="left" vertical="top"/>
    </xf>
    <xf numFmtId="0" fontId="1" fillId="2" borderId="0" xfId="0" applyFont="1" applyFill="1"/>
    <xf numFmtId="0" fontId="1" fillId="12" borderId="1" xfId="0" applyFont="1" applyFill="1" applyBorder="1" applyAlignment="1" applyProtection="1">
      <alignment horizontal="center" vertical="top" wrapText="1"/>
      <protection locked="0"/>
    </xf>
    <xf numFmtId="0" fontId="1" fillId="2" borderId="0" xfId="0" applyFont="1" applyFill="1" applyAlignment="1">
      <alignment horizontal="center" vertical="top" wrapText="1"/>
    </xf>
    <xf numFmtId="0" fontId="1" fillId="2" borderId="0" xfId="2" applyFont="1" applyFill="1" applyAlignment="1">
      <alignment vertical="top" wrapText="1"/>
    </xf>
    <xf numFmtId="2" fontId="1" fillId="17" borderId="0" xfId="0" applyNumberFormat="1" applyFont="1" applyFill="1" applyAlignment="1">
      <alignment horizontal="left" vertical="top"/>
    </xf>
    <xf numFmtId="0" fontId="1" fillId="0" borderId="0" xfId="0" applyFont="1" applyAlignment="1">
      <alignment vertical="center"/>
    </xf>
    <xf numFmtId="14" fontId="1" fillId="2" borderId="0" xfId="0" applyNumberFormat="1" applyFont="1" applyFill="1" applyAlignment="1">
      <alignment horizontal="left" vertical="top"/>
    </xf>
    <xf numFmtId="0" fontId="1" fillId="2" borderId="0" xfId="0" applyFont="1" applyFill="1" applyAlignment="1">
      <alignment horizontal="left" vertical="top" wrapText="1"/>
    </xf>
    <xf numFmtId="0" fontId="8" fillId="3" borderId="0" xfId="0" applyFont="1" applyFill="1" applyAlignment="1">
      <alignment horizontal="left" vertical="top" wrapText="1"/>
    </xf>
    <xf numFmtId="0" fontId="1" fillId="2" borderId="0" xfId="2" applyFont="1" applyFill="1" applyAlignment="1">
      <alignment horizontal="left" vertical="top" wrapText="1"/>
    </xf>
    <xf numFmtId="0" fontId="8" fillId="6" borderId="4" xfId="0" applyFont="1" applyFill="1" applyBorder="1" applyAlignment="1" applyProtection="1">
      <alignment horizontal="left" vertical="top"/>
      <protection locked="0"/>
    </xf>
    <xf numFmtId="0" fontId="8" fillId="6" borderId="3" xfId="0" applyFont="1" applyFill="1" applyBorder="1" applyAlignment="1" applyProtection="1">
      <alignment horizontal="left" vertical="top"/>
      <protection locked="0"/>
    </xf>
    <xf numFmtId="0" fontId="8" fillId="3" borderId="0" xfId="0" applyFont="1" applyFill="1" applyAlignment="1">
      <alignment vertical="top" wrapText="1"/>
    </xf>
    <xf numFmtId="0" fontId="20" fillId="3" borderId="0" xfId="0" applyFont="1" applyFill="1" applyAlignment="1">
      <alignment horizontal="left" vertical="top" wrapText="1"/>
    </xf>
    <xf numFmtId="0" fontId="14" fillId="2" borderId="0" xfId="0" applyFont="1" applyFill="1" applyAlignment="1">
      <alignment horizontal="center" vertical="top" wrapText="1"/>
    </xf>
    <xf numFmtId="0" fontId="9" fillId="4" borderId="0" xfId="0" applyFont="1" applyFill="1" applyAlignment="1">
      <alignment horizontal="center" vertical="center"/>
    </xf>
    <xf numFmtId="0" fontId="13" fillId="15" borderId="0" xfId="0" applyFont="1" applyFill="1" applyAlignment="1">
      <alignment horizontal="left" vertical="center"/>
    </xf>
    <xf numFmtId="0" fontId="13" fillId="15" borderId="0" xfId="0" applyFont="1" applyFill="1" applyAlignment="1">
      <alignment horizontal="center" vertical="center" wrapText="1"/>
    </xf>
    <xf numFmtId="3" fontId="8" fillId="6" borderId="4" xfId="0" applyNumberFormat="1" applyFont="1" applyFill="1" applyBorder="1" applyAlignment="1" applyProtection="1">
      <alignment horizontal="left" vertical="center" wrapText="1"/>
      <protection locked="0"/>
    </xf>
    <xf numFmtId="3" fontId="8" fillId="6" borderId="2" xfId="0" applyNumberFormat="1" applyFont="1" applyFill="1" applyBorder="1" applyAlignment="1" applyProtection="1">
      <alignment horizontal="left" vertical="center" wrapText="1"/>
      <protection locked="0"/>
    </xf>
    <xf numFmtId="3" fontId="8" fillId="6" borderId="3" xfId="0" applyNumberFormat="1" applyFont="1" applyFill="1" applyBorder="1" applyAlignment="1" applyProtection="1">
      <alignment horizontal="left" vertical="center" wrapText="1"/>
      <protection locked="0"/>
    </xf>
    <xf numFmtId="0" fontId="8" fillId="4" borderId="0" xfId="0" applyFont="1" applyFill="1" applyAlignment="1">
      <alignment horizontal="left" vertical="center" wrapText="1"/>
    </xf>
    <xf numFmtId="0" fontId="8" fillId="4" borderId="7" xfId="0" applyFont="1" applyFill="1" applyBorder="1" applyAlignment="1">
      <alignment horizontal="left" vertical="center" wrapText="1"/>
    </xf>
    <xf numFmtId="0" fontId="13" fillId="15" borderId="0" xfId="0" applyFont="1" applyFill="1" applyAlignment="1">
      <alignment horizontal="center" vertical="center"/>
    </xf>
    <xf numFmtId="0" fontId="4" fillId="16" borderId="0" xfId="0" applyFont="1" applyFill="1" applyAlignment="1">
      <alignment horizontal="center" vertical="center" textRotation="90"/>
    </xf>
    <xf numFmtId="0" fontId="20" fillId="2" borderId="0" xfId="0" applyFont="1" applyFill="1" applyAlignment="1">
      <alignment horizontal="left" vertical="top" wrapText="1"/>
    </xf>
    <xf numFmtId="0" fontId="8" fillId="4" borderId="0" xfId="0" applyFont="1" applyFill="1" applyAlignment="1">
      <alignment horizontal="left" vertical="top" wrapText="1"/>
    </xf>
    <xf numFmtId="0" fontId="23" fillId="13" borderId="0" xfId="0" applyFont="1" applyFill="1" applyAlignment="1">
      <alignment horizontal="left" vertical="top" wrapText="1"/>
    </xf>
    <xf numFmtId="0" fontId="12" fillId="3" borderId="0" xfId="0" applyFont="1" applyFill="1" applyAlignment="1">
      <alignment horizontal="left" vertical="top"/>
    </xf>
    <xf numFmtId="0" fontId="22" fillId="4" borderId="0" xfId="0" applyFont="1" applyFill="1" applyAlignment="1">
      <alignment horizontal="left" vertical="top" wrapText="1"/>
    </xf>
    <xf numFmtId="0" fontId="8" fillId="3" borderId="0" xfId="0" applyFont="1" applyFill="1" applyAlignment="1">
      <alignment horizontal="left" wrapText="1"/>
    </xf>
  </cellXfs>
  <cellStyles count="4">
    <cellStyle name="Normal" xfId="0" builtinId="0"/>
    <cellStyle name="Standard 2" xfId="2" xr:uid="{00000000-0005-0000-0000-000001000000}"/>
    <cellStyle name="Standard 3" xfId="3" xr:uid="{00000000-0005-0000-0000-000002000000}"/>
    <cellStyle name="Standard 9" xfId="1" xr:uid="{00000000-0005-0000-0000-000003000000}"/>
  </cellStyles>
  <dxfs count="261">
    <dxf>
      <fill>
        <patternFill>
          <bgColor rgb="FFF2F2F2"/>
        </patternFill>
      </fill>
    </dxf>
    <dxf>
      <font>
        <color auto="1"/>
      </font>
      <fill>
        <patternFill>
          <bgColor theme="9"/>
        </patternFill>
      </fill>
    </dxf>
    <dxf>
      <fill>
        <patternFill>
          <bgColor rgb="FFFF7D7D"/>
        </patternFill>
      </fill>
    </dxf>
    <dxf>
      <fill>
        <patternFill>
          <bgColor theme="7" tint="0.59996337778862885"/>
        </patternFill>
      </fill>
    </dxf>
    <dxf>
      <font>
        <color auto="1"/>
      </font>
      <fill>
        <patternFill>
          <bgColor theme="9"/>
        </patternFill>
      </fill>
    </dxf>
    <dxf>
      <fill>
        <patternFill>
          <bgColor rgb="FFFF7D7D"/>
        </patternFill>
      </fill>
    </dxf>
    <dxf>
      <fill>
        <patternFill>
          <bgColor theme="7" tint="0.59996337778862885"/>
        </patternFill>
      </fill>
    </dxf>
    <dxf>
      <font>
        <color auto="1"/>
      </font>
      <fill>
        <patternFill>
          <bgColor theme="9"/>
        </patternFill>
      </fill>
    </dxf>
    <dxf>
      <fill>
        <patternFill>
          <bgColor rgb="FFFF7D7D"/>
        </patternFill>
      </fill>
    </dxf>
    <dxf>
      <fill>
        <patternFill>
          <bgColor theme="7" tint="0.59996337778862885"/>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theme="0"/>
      </font>
      <fill>
        <patternFill patternType="solid">
          <fgColor theme="2" tint="-9.9917600024414813E-2"/>
          <bgColor theme="0"/>
        </patternFill>
      </fill>
    </dxf>
    <dxf>
      <font>
        <color auto="1"/>
      </font>
      <fill>
        <patternFill>
          <bgColor theme="4" tint="0.79998168889431442"/>
        </patternFill>
      </fill>
      <border>
        <left style="thin">
          <color auto="1"/>
        </left>
        <right style="thin">
          <color auto="1"/>
        </right>
        <top style="thin">
          <color auto="1"/>
        </top>
        <bottom style="thin">
          <color auto="1"/>
        </bottom>
      </border>
    </dxf>
    <dxf>
      <font>
        <color theme="1"/>
      </font>
      <fill>
        <patternFill>
          <bgColor rgb="FFFF0000"/>
        </patternFill>
      </fill>
    </dxf>
    <dxf>
      <font>
        <color auto="1"/>
      </font>
      <fill>
        <patternFill>
          <bgColor theme="4" tint="0.79998168889431442"/>
        </patternFill>
      </fill>
      <border>
        <left style="thin">
          <color auto="1"/>
        </left>
        <right style="thin">
          <color auto="1"/>
        </right>
        <top style="thin">
          <color auto="1"/>
        </top>
        <bottom style="thin">
          <color auto="1"/>
        </bottom>
      </border>
    </dxf>
    <dxf>
      <font>
        <color theme="1"/>
      </font>
      <fill>
        <patternFill>
          <bgColor rgb="FFFF0000"/>
        </patternFill>
      </fill>
    </dxf>
    <dxf>
      <font>
        <color theme="1"/>
      </font>
      <fill>
        <patternFill>
          <bgColor rgb="FFFF0000"/>
        </patternFill>
      </fill>
    </dxf>
    <dxf>
      <font>
        <color auto="1"/>
      </font>
      <fill>
        <patternFill>
          <bgColor theme="4" tint="0.79998168889431442"/>
        </patternFill>
      </fill>
      <border>
        <left style="thin">
          <color auto="1"/>
        </left>
        <right style="thin">
          <color auto="1"/>
        </right>
        <top style="thin">
          <color auto="1"/>
        </top>
        <bottom style="thin">
          <color auto="1"/>
        </bottom>
      </border>
    </dxf>
    <dxf>
      <font>
        <color theme="1"/>
      </font>
      <fill>
        <patternFill>
          <bgColor rgb="FFFF0000"/>
        </patternFill>
      </fill>
    </dxf>
    <dxf>
      <font>
        <color auto="1"/>
      </font>
      <fill>
        <patternFill>
          <bgColor theme="4" tint="0.79998168889431442"/>
        </patternFill>
      </fill>
      <border>
        <left style="thin">
          <color auto="1"/>
        </left>
        <right style="thin">
          <color auto="1"/>
        </right>
        <top style="thin">
          <color auto="1"/>
        </top>
        <bottom style="thin">
          <color auto="1"/>
        </bottom>
      </border>
    </dxf>
    <dxf>
      <font>
        <color theme="1"/>
      </font>
      <fill>
        <patternFill>
          <bgColor rgb="FFFF0000"/>
        </patternFill>
      </fill>
    </dxf>
    <dxf>
      <font>
        <color auto="1"/>
      </font>
      <fill>
        <patternFill>
          <bgColor theme="4" tint="0.79998168889431442"/>
        </patternFill>
      </fill>
      <border>
        <left style="thin">
          <color auto="1"/>
        </left>
        <right style="thin">
          <color auto="1"/>
        </right>
        <top style="thin">
          <color auto="1"/>
        </top>
        <bottom style="thin">
          <color auto="1"/>
        </bottom>
      </border>
    </dxf>
    <dxf>
      <font>
        <color theme="1"/>
      </font>
      <fill>
        <patternFill>
          <bgColor rgb="FFFF0000"/>
        </patternFill>
      </fill>
    </dxf>
    <dxf>
      <font>
        <color auto="1"/>
      </font>
      <fill>
        <patternFill>
          <bgColor theme="4" tint="0.79998168889431442"/>
        </patternFill>
      </fill>
      <border>
        <left style="thin">
          <color auto="1"/>
        </left>
        <right style="thin">
          <color auto="1"/>
        </right>
        <top style="thin">
          <color auto="1"/>
        </top>
        <bottom style="thin">
          <color auto="1"/>
        </bottom>
      </border>
    </dxf>
    <dxf>
      <font>
        <color theme="1"/>
      </font>
      <fill>
        <patternFill>
          <bgColor rgb="FFFF0000"/>
        </patternFill>
      </fill>
    </dxf>
    <dxf>
      <font>
        <color auto="1"/>
      </font>
      <fill>
        <patternFill>
          <bgColor theme="4" tint="0.79998168889431442"/>
        </patternFill>
      </fill>
      <border>
        <left style="thin">
          <color auto="1"/>
        </left>
        <right style="thin">
          <color auto="1"/>
        </right>
        <top style="thin">
          <color auto="1"/>
        </top>
        <bottom style="thin">
          <color auto="1"/>
        </bottom>
      </border>
    </dxf>
    <dxf>
      <font>
        <color auto="1"/>
      </font>
      <fill>
        <patternFill>
          <bgColor theme="4" tint="0.79998168889431442"/>
        </patternFill>
      </fill>
      <border>
        <left style="thin">
          <color auto="1"/>
        </left>
        <right style="thin">
          <color auto="1"/>
        </right>
        <top style="thin">
          <color auto="1"/>
        </top>
        <bottom style="thin">
          <color auto="1"/>
        </bottom>
      </border>
    </dxf>
    <dxf>
      <font>
        <color theme="1"/>
      </font>
      <fill>
        <patternFill>
          <bgColor rgb="FFFF0000"/>
        </patternFill>
      </fill>
    </dxf>
    <dxf>
      <font>
        <color auto="1"/>
      </font>
      <fill>
        <patternFill>
          <bgColor theme="4" tint="0.79998168889431442"/>
        </patternFill>
      </fill>
      <border>
        <left style="thin">
          <color auto="1"/>
        </left>
        <right style="thin">
          <color auto="1"/>
        </right>
        <top style="thin">
          <color auto="1"/>
        </top>
        <bottom style="thin">
          <color auto="1"/>
        </bottom>
      </border>
    </dxf>
    <dxf>
      <font>
        <color theme="1"/>
      </font>
      <fill>
        <patternFill>
          <bgColor rgb="FFFF0000"/>
        </patternFill>
      </fill>
    </dxf>
    <dxf>
      <font>
        <color theme="1"/>
      </font>
      <fill>
        <patternFill>
          <bgColor rgb="FFFF0000"/>
        </patternFill>
      </fill>
    </dxf>
    <dxf>
      <font>
        <color auto="1"/>
      </font>
      <fill>
        <patternFill>
          <bgColor theme="4" tint="0.79998168889431442"/>
        </patternFill>
      </fill>
      <border>
        <left style="thin">
          <color auto="1"/>
        </left>
        <right style="thin">
          <color auto="1"/>
        </right>
        <top style="thin">
          <color auto="1"/>
        </top>
        <bottom style="thin">
          <color auto="1"/>
        </bottom>
      </border>
    </dxf>
    <dxf>
      <font>
        <color theme="1"/>
      </font>
      <fill>
        <patternFill>
          <bgColor rgb="FFFF0000"/>
        </patternFill>
      </fill>
    </dxf>
    <dxf>
      <font>
        <color auto="1"/>
      </font>
      <fill>
        <patternFill>
          <bgColor theme="4" tint="0.79998168889431442"/>
        </patternFill>
      </fill>
      <border>
        <left style="thin">
          <color auto="1"/>
        </left>
        <right style="thin">
          <color auto="1"/>
        </right>
        <top style="thin">
          <color auto="1"/>
        </top>
        <bottom style="thin">
          <color auto="1"/>
        </bottom>
      </border>
    </dxf>
    <dxf>
      <fill>
        <patternFill>
          <fgColor auto="1"/>
          <bgColor rgb="FFFF7D7D"/>
        </patternFill>
      </fill>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7" tint="0.59996337778862885"/>
        </patternFill>
      </fill>
    </dxf>
    <dxf>
      <fill>
        <patternFill>
          <bgColor theme="9"/>
        </patternFill>
      </fill>
    </dxf>
    <dxf>
      <fill>
        <patternFill>
          <bgColor theme="4" tint="0.79998168889431442"/>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9"/>
        </patternFill>
      </fill>
    </dxf>
    <dxf>
      <fill>
        <patternFill>
          <bgColor theme="7" tint="0.59996337778862885"/>
        </patternFill>
      </fill>
    </dxf>
    <dxf>
      <fill>
        <patternFill>
          <fgColor auto="1"/>
          <bgColor rgb="FFFF7D7D"/>
        </patternFill>
      </fill>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border>
    </dxf>
    <dxf>
      <fill>
        <patternFill>
          <bgColor theme="9"/>
        </patternFill>
      </fill>
    </dxf>
    <dxf>
      <fill>
        <patternFill>
          <bgColor theme="8" tint="0.59996337778862885"/>
        </patternFill>
      </fill>
      <border>
        <left style="thin">
          <color auto="1"/>
        </left>
        <right style="thin">
          <color auto="1"/>
        </right>
        <top style="thin">
          <color auto="1"/>
        </top>
        <bottom style="thin">
          <color auto="1"/>
        </bottom>
      </border>
    </dxf>
    <dxf>
      <fill>
        <patternFill>
          <fgColor auto="1"/>
          <bgColor rgb="FFFF7D7D"/>
        </patternFill>
      </fill>
    </dxf>
    <dxf>
      <fill>
        <patternFill>
          <bgColor theme="7" tint="0.59996337778862885"/>
        </patternFill>
      </fill>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rgb="FFFF7D7D"/>
        </patternFill>
      </fill>
    </dxf>
    <dxf>
      <fill>
        <patternFill>
          <bgColor theme="7" tint="0.59996337778862885"/>
        </patternFill>
      </fill>
    </dxf>
    <dxf>
      <fill>
        <patternFill>
          <bgColor theme="9"/>
        </patternFill>
      </fill>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9"/>
        </patternFill>
      </fill>
    </dxf>
    <dxf>
      <fill>
        <patternFill>
          <bgColor theme="7" tint="0.59996337778862885"/>
        </patternFill>
      </fill>
    </dxf>
    <dxf>
      <fill>
        <patternFill>
          <fgColor auto="1"/>
          <bgColor rgb="FFFF7D7D"/>
        </patternFill>
      </fill>
    </dxf>
    <dxf>
      <fill>
        <patternFill>
          <bgColor theme="4" tint="0.79998168889431442"/>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9"/>
        </patternFill>
      </fill>
    </dxf>
    <dxf>
      <fill>
        <patternFill>
          <fgColor auto="1"/>
          <bgColor rgb="FFFF7D7D"/>
        </patternFill>
      </fill>
    </dxf>
    <dxf>
      <fill>
        <patternFill>
          <bgColor theme="7" tint="0.59996337778862885"/>
        </patternFill>
      </fill>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9"/>
        </patternFill>
      </fill>
    </dxf>
    <dxf>
      <fill>
        <patternFill>
          <bgColor theme="7" tint="0.59996337778862885"/>
        </patternFill>
      </fill>
    </dxf>
    <dxf>
      <fill>
        <patternFill>
          <fgColor auto="1"/>
          <bgColor rgb="FFFF7D7D"/>
        </patternFill>
      </fill>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9"/>
        </patternFill>
      </fill>
    </dxf>
    <dxf>
      <fill>
        <patternFill>
          <fgColor auto="1"/>
          <bgColor rgb="FFFF7D7D"/>
        </patternFill>
      </fill>
    </dxf>
    <dxf>
      <fill>
        <patternFill>
          <bgColor theme="7" tint="0.59996337778862885"/>
        </patternFill>
      </fill>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9"/>
        </patternFill>
      </fill>
    </dxf>
    <dxf>
      <fill>
        <patternFill>
          <bgColor theme="7" tint="0.59996337778862885"/>
        </patternFill>
      </fill>
    </dxf>
    <dxf>
      <fill>
        <patternFill>
          <fgColor auto="1"/>
          <bgColor rgb="FFFF7D7D"/>
        </patternFill>
      </fill>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fgColor auto="1"/>
          <bgColor rgb="FFFF7D7D"/>
        </patternFill>
      </fill>
    </dxf>
    <dxf>
      <fill>
        <patternFill>
          <bgColor theme="4" tint="0.79998168889431442"/>
        </patternFill>
      </fill>
      <border>
        <left style="thin">
          <color auto="1"/>
        </left>
        <right style="thin">
          <color auto="1"/>
        </right>
        <top style="thin">
          <color auto="1"/>
        </top>
        <bottom style="thin">
          <color auto="1"/>
        </bottom>
      </border>
    </dxf>
    <dxf>
      <fill>
        <patternFill>
          <bgColor theme="9"/>
        </patternFill>
      </fill>
    </dxf>
    <dxf>
      <fill>
        <patternFill>
          <bgColor theme="7" tint="0.59996337778862885"/>
        </patternFill>
      </fill>
    </dxf>
    <dxf>
      <fill>
        <patternFill>
          <fgColor auto="1"/>
          <bgColor theme="8" tint="0.79998168889431442"/>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9"/>
        </patternFill>
      </fill>
    </dxf>
    <dxf>
      <fill>
        <patternFill>
          <bgColor theme="7" tint="0.59996337778862885"/>
        </patternFill>
      </fill>
    </dxf>
    <dxf>
      <fill>
        <patternFill>
          <fgColor auto="1"/>
          <bgColor rgb="FFFF7D7D"/>
        </patternFill>
      </fill>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9"/>
        </patternFill>
      </fill>
    </dxf>
    <dxf>
      <fill>
        <patternFill>
          <bgColor theme="7" tint="0.59996337778862885"/>
        </patternFill>
      </fill>
    </dxf>
    <dxf>
      <fill>
        <patternFill>
          <fgColor auto="1"/>
          <bgColor rgb="FFFF7D7D"/>
        </patternFill>
      </fill>
    </dxf>
    <dxf>
      <fill>
        <patternFill>
          <fgColor auto="1"/>
          <bgColor theme="8"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fgColor auto="1"/>
          <bgColor rgb="FFFF7D7D"/>
        </patternFill>
      </fill>
    </dxf>
    <dxf>
      <fill>
        <patternFill>
          <bgColor theme="7" tint="0.59996337778862885"/>
        </patternFill>
      </fill>
    </dxf>
    <dxf>
      <fill>
        <patternFill>
          <bgColor theme="9"/>
        </patternFill>
      </fill>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9"/>
        </patternFill>
      </fill>
    </dxf>
    <dxf>
      <fill>
        <patternFill>
          <bgColor theme="7" tint="0.59996337778862885"/>
        </patternFill>
      </fill>
    </dxf>
    <dxf>
      <fill>
        <patternFill>
          <fgColor auto="1"/>
          <bgColor rgb="FFFF7D7D"/>
        </patternFill>
      </fill>
    </dxf>
    <dxf>
      <fill>
        <patternFill>
          <fgColor auto="1"/>
          <bgColor theme="8"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9"/>
        </patternFill>
      </fill>
    </dxf>
    <dxf>
      <fill>
        <patternFill>
          <fgColor auto="1"/>
          <bgColor theme="8" tint="0.79998168889431442"/>
        </patternFill>
      </fill>
      <border>
        <left style="thin">
          <color auto="1"/>
        </left>
        <right style="thin">
          <color auto="1"/>
        </right>
        <top style="thin">
          <color auto="1"/>
        </top>
        <bottom style="thin">
          <color auto="1"/>
        </bottom>
      </border>
    </dxf>
    <dxf>
      <fill>
        <patternFill>
          <fgColor auto="1"/>
          <bgColor rgb="FFFF7D7D"/>
        </patternFill>
      </fill>
    </dxf>
    <dxf>
      <fill>
        <patternFill>
          <bgColor theme="8" tint="0.59996337778862885"/>
        </patternFill>
      </fill>
      <border>
        <left style="thin">
          <color auto="1"/>
        </left>
        <right style="thin">
          <color auto="1"/>
        </right>
        <top style="thin">
          <color auto="1"/>
        </top>
        <bottom style="thin">
          <color auto="1"/>
        </bottom>
      </border>
    </dxf>
    <dxf>
      <fill>
        <patternFill>
          <bgColor theme="7" tint="0.59996337778862885"/>
        </patternFill>
      </fill>
    </dxf>
    <dxf>
      <fill>
        <patternFill>
          <bgColor theme="4" tint="0.79998168889431442"/>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rgb="FFFF7D7D"/>
        </patternFill>
      </fill>
    </dxf>
    <dxf>
      <fill>
        <patternFill>
          <bgColor theme="7" tint="0.59996337778862885"/>
        </patternFill>
      </fill>
    </dxf>
    <dxf>
      <fill>
        <patternFill>
          <bgColor theme="9"/>
        </patternFill>
      </fill>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4" tint="0.79998168889431442"/>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fgColor auto="1"/>
          <bgColor theme="8" tint="0.79998168889431442"/>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border>
    </dxf>
    <dxf>
      <fill>
        <patternFill>
          <bgColor theme="8" tint="0.3999450666829432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border>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s>
  <tableStyles count="0" defaultTableStyle="TableStyleMedium2" defaultPivotStyle="PivotStyleLight16"/>
  <colors>
    <mruColors>
      <color rgb="FFBCE2F8"/>
      <color rgb="FF76E2F8"/>
      <color rgb="FF72BF44"/>
      <color rgb="FFFF0000"/>
      <color rgb="FFFF7D7D"/>
      <color rgb="FFC6E6B3"/>
      <color rgb="FFFAA61A"/>
      <color rgb="FFFF9F9F"/>
      <color rgb="FF266D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660400</xdr:colOff>
      <xdr:row>23</xdr:row>
      <xdr:rowOff>88900</xdr:rowOff>
    </xdr:from>
    <xdr:to>
      <xdr:col>9</xdr:col>
      <xdr:colOff>47625</xdr:colOff>
      <xdr:row>23</xdr:row>
      <xdr:rowOff>649148</xdr:rowOff>
    </xdr:to>
    <xdr:pic>
      <xdr:nvPicPr>
        <xdr:cNvPr id="5" name="Grafik 4" descr="https://www.mbenefits.eu/static/mbenefits/img/MultipleBenefits_LogoHeader_w491_h80.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3911600" y="6489700"/>
          <a:ext cx="3451225" cy="560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1333500</xdr:colOff>
      <xdr:row>23</xdr:row>
      <xdr:rowOff>50800</xdr:rowOff>
    </xdr:from>
    <xdr:to>
      <xdr:col>4</xdr:col>
      <xdr:colOff>386251</xdr:colOff>
      <xdr:row>23</xdr:row>
      <xdr:rowOff>639125</xdr:rowOff>
    </xdr:to>
    <xdr:pic>
      <xdr:nvPicPr>
        <xdr:cNvPr id="2" name="Grafik 2">
          <a:extLst>
            <a:ext uri="{FF2B5EF4-FFF2-40B4-BE49-F238E27FC236}">
              <a16:creationId xmlns:a16="http://schemas.microsoft.com/office/drawing/2014/main" id="{76F2F4CC-60C0-AA41-AD61-917832E51E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12900" y="6451600"/>
          <a:ext cx="2024551" cy="588325"/>
        </a:xfrm>
        <a:prstGeom prst="rect">
          <a:avLst/>
        </a:prstGeom>
      </xdr:spPr>
    </xdr:pic>
    <xdr:clientData/>
  </xdr:twoCellAnchor>
  <xdr:twoCellAnchor editAs="oneCell">
    <xdr:from>
      <xdr:col>9</xdr:col>
      <xdr:colOff>130175</xdr:colOff>
      <xdr:row>0</xdr:row>
      <xdr:rowOff>28575</xdr:rowOff>
    </xdr:from>
    <xdr:to>
      <xdr:col>9</xdr:col>
      <xdr:colOff>804439</xdr:colOff>
      <xdr:row>2</xdr:row>
      <xdr:rowOff>182928</xdr:rowOff>
    </xdr:to>
    <xdr:pic>
      <xdr:nvPicPr>
        <xdr:cNvPr id="4" name="Picture 3">
          <a:extLst>
            <a:ext uri="{FF2B5EF4-FFF2-40B4-BE49-F238E27FC236}">
              <a16:creationId xmlns:a16="http://schemas.microsoft.com/office/drawing/2014/main" id="{80B62B03-9FF7-094A-8E9E-4040B391D58E}"/>
            </a:ext>
          </a:extLst>
        </xdr:cNvPr>
        <xdr:cNvPicPr>
          <a:picLocks noChangeAspect="1"/>
        </xdr:cNvPicPr>
      </xdr:nvPicPr>
      <xdr:blipFill>
        <a:blip xmlns:r="http://schemas.openxmlformats.org/officeDocument/2006/relationships" r:embed="rId4"/>
        <a:stretch>
          <a:fillRect/>
        </a:stretch>
      </xdr:blipFill>
      <xdr:spPr>
        <a:xfrm>
          <a:off x="7445375" y="28575"/>
          <a:ext cx="674264" cy="5861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127000</xdr:colOff>
      <xdr:row>0</xdr:row>
      <xdr:rowOff>50800</xdr:rowOff>
    </xdr:from>
    <xdr:to>
      <xdr:col>10</xdr:col>
      <xdr:colOff>804439</xdr:colOff>
      <xdr:row>3</xdr:row>
      <xdr:rowOff>14653</xdr:rowOff>
    </xdr:to>
    <xdr:pic>
      <xdr:nvPicPr>
        <xdr:cNvPr id="2" name="Picture 1">
          <a:extLst>
            <a:ext uri="{FF2B5EF4-FFF2-40B4-BE49-F238E27FC236}">
              <a16:creationId xmlns:a16="http://schemas.microsoft.com/office/drawing/2014/main" id="{EB181DFC-613C-204B-81FD-A4302548FDEA}"/>
            </a:ext>
          </a:extLst>
        </xdr:cNvPr>
        <xdr:cNvPicPr>
          <a:picLocks noChangeAspect="1"/>
        </xdr:cNvPicPr>
      </xdr:nvPicPr>
      <xdr:blipFill>
        <a:blip xmlns:r="http://schemas.openxmlformats.org/officeDocument/2006/relationships" r:embed="rId1"/>
        <a:stretch>
          <a:fillRect/>
        </a:stretch>
      </xdr:blipFill>
      <xdr:spPr>
        <a:xfrm>
          <a:off x="10172700" y="50800"/>
          <a:ext cx="677439" cy="5861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1625600</xdr:colOff>
      <xdr:row>0</xdr:row>
      <xdr:rowOff>63500</xdr:rowOff>
    </xdr:from>
    <xdr:to>
      <xdr:col>6</xdr:col>
      <xdr:colOff>2303039</xdr:colOff>
      <xdr:row>3</xdr:row>
      <xdr:rowOff>27353</xdr:rowOff>
    </xdr:to>
    <xdr:pic>
      <xdr:nvPicPr>
        <xdr:cNvPr id="3" name="Picture 2">
          <a:extLst>
            <a:ext uri="{FF2B5EF4-FFF2-40B4-BE49-F238E27FC236}">
              <a16:creationId xmlns:a16="http://schemas.microsoft.com/office/drawing/2014/main" id="{7C71E11C-D8AB-0940-8EE3-37B25E47CC23}"/>
            </a:ext>
          </a:extLst>
        </xdr:cNvPr>
        <xdr:cNvPicPr>
          <a:picLocks noChangeAspect="1"/>
        </xdr:cNvPicPr>
      </xdr:nvPicPr>
      <xdr:blipFill>
        <a:blip xmlns:r="http://schemas.openxmlformats.org/officeDocument/2006/relationships" r:embed="rId1"/>
        <a:stretch>
          <a:fillRect/>
        </a:stretch>
      </xdr:blipFill>
      <xdr:spPr>
        <a:xfrm>
          <a:off x="10388600" y="63500"/>
          <a:ext cx="677439" cy="5861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76200</xdr:colOff>
      <xdr:row>0</xdr:row>
      <xdr:rowOff>38100</xdr:rowOff>
    </xdr:from>
    <xdr:to>
      <xdr:col>9</xdr:col>
      <xdr:colOff>753639</xdr:colOff>
      <xdr:row>3</xdr:row>
      <xdr:rowOff>1953</xdr:rowOff>
    </xdr:to>
    <xdr:pic>
      <xdr:nvPicPr>
        <xdr:cNvPr id="2" name="Picture 1">
          <a:extLst>
            <a:ext uri="{FF2B5EF4-FFF2-40B4-BE49-F238E27FC236}">
              <a16:creationId xmlns:a16="http://schemas.microsoft.com/office/drawing/2014/main" id="{5393DEE4-6886-EB4A-8317-98B1FFFA77A2}"/>
            </a:ext>
          </a:extLst>
        </xdr:cNvPr>
        <xdr:cNvPicPr>
          <a:picLocks noChangeAspect="1"/>
        </xdr:cNvPicPr>
      </xdr:nvPicPr>
      <xdr:blipFill>
        <a:blip xmlns:r="http://schemas.openxmlformats.org/officeDocument/2006/relationships" r:embed="rId1"/>
        <a:stretch>
          <a:fillRect/>
        </a:stretch>
      </xdr:blipFill>
      <xdr:spPr>
        <a:xfrm>
          <a:off x="7239000" y="38100"/>
          <a:ext cx="677439" cy="5861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3810000</xdr:colOff>
      <xdr:row>0</xdr:row>
      <xdr:rowOff>122904</xdr:rowOff>
    </xdr:from>
    <xdr:to>
      <xdr:col>9</xdr:col>
      <xdr:colOff>4487439</xdr:colOff>
      <xdr:row>3</xdr:row>
      <xdr:rowOff>72418</xdr:rowOff>
    </xdr:to>
    <xdr:pic>
      <xdr:nvPicPr>
        <xdr:cNvPr id="4" name="Picture 3">
          <a:extLst>
            <a:ext uri="{FF2B5EF4-FFF2-40B4-BE49-F238E27FC236}">
              <a16:creationId xmlns:a16="http://schemas.microsoft.com/office/drawing/2014/main" id="{5B90140D-F7E3-9D42-B3CD-638964DC3E31}"/>
            </a:ext>
          </a:extLst>
        </xdr:cNvPr>
        <xdr:cNvPicPr>
          <a:picLocks noChangeAspect="1"/>
        </xdr:cNvPicPr>
      </xdr:nvPicPr>
      <xdr:blipFill>
        <a:blip xmlns:r="http://schemas.openxmlformats.org/officeDocument/2006/relationships" r:embed="rId1"/>
        <a:stretch>
          <a:fillRect/>
        </a:stretch>
      </xdr:blipFill>
      <xdr:spPr>
        <a:xfrm>
          <a:off x="38427742" y="122904"/>
          <a:ext cx="677439" cy="6049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469900</xdr:colOff>
      <xdr:row>0</xdr:row>
      <xdr:rowOff>25400</xdr:rowOff>
    </xdr:from>
    <xdr:to>
      <xdr:col>4</xdr:col>
      <xdr:colOff>1147339</xdr:colOff>
      <xdr:row>2</xdr:row>
      <xdr:rowOff>179753</xdr:rowOff>
    </xdr:to>
    <xdr:pic>
      <xdr:nvPicPr>
        <xdr:cNvPr id="2" name="Picture 1">
          <a:extLst>
            <a:ext uri="{FF2B5EF4-FFF2-40B4-BE49-F238E27FC236}">
              <a16:creationId xmlns:a16="http://schemas.microsoft.com/office/drawing/2014/main" id="{4BF47E01-CEA4-874B-BC23-D45B284DAA9A}"/>
            </a:ext>
          </a:extLst>
        </xdr:cNvPr>
        <xdr:cNvPicPr>
          <a:picLocks noChangeAspect="1"/>
        </xdr:cNvPicPr>
      </xdr:nvPicPr>
      <xdr:blipFill>
        <a:blip xmlns:r="http://schemas.openxmlformats.org/officeDocument/2006/relationships" r:embed="rId1"/>
        <a:stretch>
          <a:fillRect/>
        </a:stretch>
      </xdr:blipFill>
      <xdr:spPr>
        <a:xfrm>
          <a:off x="7378700" y="25400"/>
          <a:ext cx="677439" cy="586153"/>
        </a:xfrm>
        <a:prstGeom prst="rect">
          <a:avLst/>
        </a:prstGeom>
      </xdr:spPr>
    </xdr:pic>
    <xdr:clientData/>
  </xdr:twoCellAnchor>
</xdr:wsDr>
</file>

<file path=xl/theme/theme1.xml><?xml version="1.0" encoding="utf-8"?>
<a:theme xmlns:a="http://schemas.openxmlformats.org/drawingml/2006/main" name="Office Theme">
  <a:themeElements>
    <a:clrScheme name="Benutzerdefiniert 13">
      <a:dk1>
        <a:srgbClr val="000000"/>
      </a:dk1>
      <a:lt1>
        <a:srgbClr val="FFFFFF"/>
      </a:lt1>
      <a:dk2>
        <a:srgbClr val="44546A"/>
      </a:dk2>
      <a:lt2>
        <a:srgbClr val="FEFFFF"/>
      </a:lt2>
      <a:accent1>
        <a:srgbClr val="EF4123"/>
      </a:accent1>
      <a:accent2>
        <a:srgbClr val="FAA61A"/>
      </a:accent2>
      <a:accent3>
        <a:srgbClr val="FFDE2F"/>
      </a:accent3>
      <a:accent4>
        <a:srgbClr val="EF4123"/>
      </a:accent4>
      <a:accent5>
        <a:srgbClr val="0F5880"/>
      </a:accent5>
      <a:accent6>
        <a:srgbClr val="98BDD2"/>
      </a:accent6>
      <a:hlink>
        <a:srgbClr val="2478A1"/>
      </a:hlink>
      <a:folHlink>
        <a:srgbClr val="8DC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K26"/>
  <sheetViews>
    <sheetView tabSelected="1" zoomScaleNormal="100" workbookViewId="0">
      <selection activeCell="C8" sqref="C8:D8"/>
    </sheetView>
  </sheetViews>
  <sheetFormatPr baseColWidth="10" defaultColWidth="11" defaultRowHeight="15" x14ac:dyDescent="0.2"/>
  <cols>
    <col min="1" max="1" width="3.6640625" style="2" customWidth="1"/>
    <col min="2" max="2" width="17.6640625" style="2" customWidth="1"/>
    <col min="3" max="10" width="10.6640625" style="2" customWidth="1"/>
    <col min="11" max="16384" width="11" style="2"/>
  </cols>
  <sheetData>
    <row r="2" spans="1:10" ht="19" x14ac:dyDescent="0.2">
      <c r="B2" s="50" t="str">
        <f>VLOOKUP("General_Header",Hidden_Translations!$B$11:$J$129,Hidden_Translations!$C$8,FALSE)</f>
        <v>Boosting Energy Transition of the Dairy value chain (BETTED project)</v>
      </c>
      <c r="C2" s="24"/>
      <c r="D2" s="24"/>
      <c r="E2" s="24"/>
      <c r="F2" s="24"/>
      <c r="G2" s="24"/>
      <c r="H2" s="24"/>
      <c r="I2" s="24"/>
      <c r="J2" s="24"/>
    </row>
    <row r="4" spans="1:10" ht="19" x14ac:dyDescent="0.2">
      <c r="B4" s="29" t="str">
        <f>VLOOKUP("Info_Header",Hidden_Translations!$B$11:$J$129,Hidden_Translations!$C$8,FALSE)</f>
        <v>#7: NEB Evaluator: Info</v>
      </c>
      <c r="C4" s="29"/>
      <c r="D4" s="29"/>
      <c r="E4" s="29"/>
      <c r="F4" s="29"/>
      <c r="G4" s="29"/>
      <c r="H4" s="29"/>
      <c r="I4" s="29"/>
      <c r="J4" s="29"/>
    </row>
    <row r="6" spans="1:10" ht="75" customHeight="1" x14ac:dyDescent="0.2">
      <c r="B6" s="103" t="str">
        <f>VLOOKUP("Info_Header_Text",Hidden_Translations!$B$11:$J$129,Hidden_Translations!$C$8,FALSE)</f>
        <v xml:space="preserve">This tool on non-energy benefits (NEBs) should serve as approach to discover the topic of NEBs in an exemplary manner. Energy efficiency measures (EEMs) can entail, additionally to the evident energy savings, non-energy related benefits, e.g. enhanced competitiveness, reduced maintenance requirements or an improved working environment. NEBs are easily underestimated, or even not considered, in the evaluation process of an energy saving project. </v>
      </c>
      <c r="C6" s="103"/>
      <c r="D6" s="103"/>
      <c r="E6" s="103"/>
      <c r="F6" s="103"/>
      <c r="G6" s="103"/>
      <c r="H6" s="103"/>
      <c r="I6" s="103"/>
      <c r="J6" s="103"/>
    </row>
    <row r="8" spans="1:10" x14ac:dyDescent="0.2">
      <c r="A8" s="20"/>
      <c r="B8" s="20" t="str">
        <f>VLOOKUP("Info_Language_Caption",Hidden_Translations!$B$11:$J$129,Hidden_Translations!$C$8,FALSE)</f>
        <v>Language:</v>
      </c>
      <c r="C8" s="105" t="s">
        <v>0</v>
      </c>
      <c r="D8" s="106"/>
    </row>
    <row r="9" spans="1:10" x14ac:dyDescent="0.2">
      <c r="A9" s="20"/>
      <c r="B9" s="20"/>
    </row>
    <row r="10" spans="1:10" ht="45" customHeight="1" x14ac:dyDescent="0.2">
      <c r="A10" s="20"/>
      <c r="B10" s="20"/>
      <c r="C10" s="103" t="str">
        <f>VLOOKUP("Info_Language_Caption_Note",Hidden_Translations!$B$11:$J$129,Hidden_Translations!$C$8,FALSE)</f>
        <v>Important note: Please choose your language before adding any data to the empty tool and  do not change the language there later. Otherwise, issues may occur due to drop-down fields not updating automatically to the new language setting.</v>
      </c>
      <c r="D10" s="103"/>
      <c r="E10" s="103"/>
      <c r="F10" s="103"/>
      <c r="G10" s="103"/>
      <c r="H10" s="103"/>
      <c r="I10" s="103"/>
      <c r="J10" s="103"/>
    </row>
    <row r="11" spans="1:10" x14ac:dyDescent="0.2">
      <c r="A11" s="20"/>
      <c r="B11" s="20"/>
    </row>
    <row r="12" spans="1:10" x14ac:dyDescent="0.2">
      <c r="A12" s="20"/>
      <c r="B12" s="20" t="str">
        <f>VLOOKUP("Info_Version_Caption",Hidden_Translations!$B$11:$J$129,Hidden_Translations!$C$8,FALSE)</f>
        <v xml:space="preserve">Version: </v>
      </c>
      <c r="C12" s="90" t="s">
        <v>1</v>
      </c>
    </row>
    <row r="13" spans="1:10" x14ac:dyDescent="0.2">
      <c r="A13" s="20"/>
      <c r="B13" s="20"/>
    </row>
    <row r="14" spans="1:10" ht="60" customHeight="1" x14ac:dyDescent="0.2">
      <c r="A14" s="20"/>
      <c r="B14" s="20" t="str">
        <f>VLOOKUP("Info_Aim_Caption",Hidden_Translations!$B$11:$J$129,Hidden_Translations!$C$8,FALSE)</f>
        <v xml:space="preserve">Aim: </v>
      </c>
      <c r="C14" s="103" t="str">
        <f>VLOOKUP("Info_Aim_Text",Hidden_Translations!$B$11:$J$129,Hidden_Translations!$C$8,FALSE)</f>
        <v>The aim of this tool is to introduce possible NEBs of energy efficieny measures, their classification and their strategical assessement in the decision-making process of an EEM. Another focus of the tool is to assess NEBs not only from an individual company perspective but also along the whole dairy supply chain.</v>
      </c>
      <c r="D14" s="103"/>
      <c r="E14" s="103"/>
      <c r="F14" s="103"/>
      <c r="G14" s="103"/>
      <c r="H14" s="103"/>
      <c r="I14" s="103"/>
      <c r="J14" s="103"/>
    </row>
    <row r="15" spans="1:10" x14ac:dyDescent="0.2">
      <c r="A15" s="20"/>
      <c r="B15" s="20"/>
    </row>
    <row r="16" spans="1:10" x14ac:dyDescent="0.2">
      <c r="A16" s="20"/>
      <c r="B16" s="20" t="str">
        <f>VLOOKUP("Info_Target_Caption",Hidden_Translations!$B$11:$J$129,Hidden_Translations!$C$8,FALSE)</f>
        <v>Target group:</v>
      </c>
      <c r="C16" s="2" t="str">
        <f>VLOOKUP("Info_Target_Text",Hidden_Translations!$B$11:$J$129,Hidden_Translations!$C$8,FALSE)</f>
        <v>Supply chain managers &amp; environmental managers.</v>
      </c>
    </row>
    <row r="17" spans="1:11" x14ac:dyDescent="0.2">
      <c r="A17" s="20"/>
      <c r="B17" s="20"/>
    </row>
    <row r="18" spans="1:11" ht="16" x14ac:dyDescent="0.2">
      <c r="A18" s="20"/>
      <c r="B18" s="26" t="str">
        <f>VLOOKUP("Info_Coding_Caption",Hidden_Translations!$B$11:$J$129,Hidden_Translations!$C$8,FALSE)</f>
        <v>Color coding:</v>
      </c>
      <c r="C18" s="31"/>
      <c r="E18" s="2" t="str">
        <f>VLOOKUP("Info_Coding_User",Hidden_Translations!$B$11:$J$129,Hidden_Translations!$C$8,FALSE)</f>
        <v>Field is an input field and requires input from the user.</v>
      </c>
    </row>
    <row r="19" spans="1:11" x14ac:dyDescent="0.2">
      <c r="A19" s="20"/>
      <c r="B19" s="20"/>
    </row>
    <row r="20" spans="1:11" x14ac:dyDescent="0.2">
      <c r="A20" s="20"/>
      <c r="B20" s="20"/>
      <c r="C20" s="65"/>
      <c r="E20" s="2" t="str">
        <f>VLOOKUP("Info_Coding_Transfer",Hidden_Translations!$B$11:$J$129,Hidden_Translations!$C$8,FALSE)</f>
        <v>Information transferred from a different part of the workbook.</v>
      </c>
    </row>
    <row r="21" spans="1:11" x14ac:dyDescent="0.2">
      <c r="A21" s="20"/>
      <c r="B21" s="20"/>
      <c r="C21" s="66"/>
      <c r="E21" s="2" t="str">
        <f>VLOOKUP("Info_Coding_Calculated",Hidden_Translations!$B$11:$J$129,Hidden_Translations!$C$8,FALSE)</f>
        <v>Information calculated based on other values.</v>
      </c>
    </row>
    <row r="22" spans="1:11" ht="15" customHeight="1" x14ac:dyDescent="0.2">
      <c r="A22" s="20"/>
      <c r="B22" s="20"/>
      <c r="C22" s="17"/>
      <c r="D22" s="17"/>
      <c r="E22" s="17"/>
      <c r="F22" s="17"/>
      <c r="G22" s="17"/>
      <c r="H22" s="17"/>
      <c r="I22" s="17"/>
      <c r="J22" s="17"/>
    </row>
    <row r="23" spans="1:11" ht="30" customHeight="1" x14ac:dyDescent="0.2">
      <c r="A23" s="20"/>
      <c r="B23" s="20" t="str">
        <f>VLOOKUP("Info_Acknowledgements_Caption",Hidden_Translations!$B$11:$J$129,Hidden_Translations!$C$8,FALSE)</f>
        <v>Acknowledgements:</v>
      </c>
      <c r="C23" s="103" t="str">
        <f>VLOOKUP("Info_Acknowledgements_Text",Hidden_Translations!$B$11:$J$129,Hidden_Translations!$C$8,FALSE)</f>
        <v>The BETTED project team gratefully acknolwedges the support by its sister projects ICCE (www.ICCEE.eu) and M-Benefits (https://www.mbenefits.eu/) providing the basis for this tool.</v>
      </c>
      <c r="D23" s="103"/>
      <c r="E23" s="103"/>
      <c r="F23" s="103"/>
      <c r="G23" s="103"/>
      <c r="H23" s="103"/>
      <c r="I23" s="103"/>
      <c r="J23" s="103"/>
    </row>
    <row r="24" spans="1:11" ht="60" customHeight="1" x14ac:dyDescent="0.2">
      <c r="A24" s="20"/>
      <c r="B24" s="20"/>
      <c r="C24"/>
      <c r="D24" s="17"/>
      <c r="E24" s="17"/>
      <c r="F24" s="17"/>
      <c r="G24" s="17"/>
      <c r="H24" s="17"/>
      <c r="I24" s="17"/>
      <c r="J24" s="17"/>
    </row>
    <row r="25" spans="1:11" s="21" customFormat="1" ht="30" customHeight="1" x14ac:dyDescent="0.2">
      <c r="A25" s="93"/>
      <c r="B25" s="88" t="str">
        <f>VLOOKUP("Info_Copyright_Caption", Hidden_Translations!$B$11:$K$1040,Hidden_Translations!$C$8,FALSE)</f>
        <v xml:space="preserve">Copyright: </v>
      </c>
      <c r="C25" s="104" t="str">
        <f>VLOOKUP("Info_Copyright_Text1", Hidden_Translations!$B$11:$K$1040,Hidden_Translations!$C$8,FALSE)</f>
        <v>(c) BETTED Project, 2024 (https://betted-project.eu)</v>
      </c>
      <c r="D25" s="104"/>
      <c r="E25" s="104"/>
      <c r="F25" s="104"/>
      <c r="G25" s="104"/>
      <c r="H25" s="104"/>
      <c r="I25" s="104"/>
      <c r="J25" s="104"/>
      <c r="K25" s="94"/>
    </row>
    <row r="26" spans="1:11" s="21" customFormat="1" ht="180" customHeight="1" x14ac:dyDescent="0.2">
      <c r="A26" s="93"/>
      <c r="B26" s="78"/>
      <c r="C26" s="104" t="str">
        <f>VLOOKUP("Info_Copyright_Text2", Hidden_Translations!$B$11:$K$1040,Hidden_Translations!$C$8,FALSE)</f>
        <v>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consent of the owner of the trademark. The sole responsibility for the document lies with the project. The document does not necessarily reflect the opinion of the European Union. Neither the CINEA nor the European Commission is responsible for any use that may be made of the information contained therein. The English version of the copyright is authoritative. Versions in other languages are for information purposes only.</v>
      </c>
      <c r="D26" s="104"/>
      <c r="E26" s="104"/>
      <c r="F26" s="104"/>
      <c r="G26" s="104"/>
      <c r="H26" s="104"/>
      <c r="I26" s="104"/>
      <c r="J26" s="104"/>
      <c r="K26" s="94"/>
    </row>
  </sheetData>
  <sheetProtection algorithmName="SHA-512" hashValue="H9SulW4WwLFcm2vuyhnSGz1zGDfdFklvC+5ovMnc8IIrJxOBV9FSVkjuFhCpZkg+0N12VDDm8x8QPv94Ty84cg==" saltValue="4u1+RaweLBqYLhXsy/n0xg==" spinCount="100000" sheet="1" formatColumns="0" selectLockedCells="1"/>
  <mergeCells count="7">
    <mergeCell ref="B6:J6"/>
    <mergeCell ref="C14:J14"/>
    <mergeCell ref="C25:J25"/>
    <mergeCell ref="C26:J26"/>
    <mergeCell ref="C10:J10"/>
    <mergeCell ref="C23:J23"/>
    <mergeCell ref="C8:D8"/>
  </mergeCells>
  <pageMargins left="0.70866141732283472" right="0.70866141732283472" top="0.78740157480314965" bottom="0.78740157480314965" header="0.31496062992125984" footer="0.31496062992125984"/>
  <pageSetup paperSize="9" scale="6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Hidden_Lists!$C$12:$C$19</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M105"/>
  <sheetViews>
    <sheetView zoomScale="107" zoomScaleNormal="84" workbookViewId="0">
      <selection activeCell="H74" sqref="H74"/>
    </sheetView>
  </sheetViews>
  <sheetFormatPr baseColWidth="10" defaultColWidth="11" defaultRowHeight="15" x14ac:dyDescent="0.2"/>
  <cols>
    <col min="1" max="3" width="1.6640625" style="58" customWidth="1"/>
    <col min="4" max="4" width="20.6640625" style="11" customWidth="1"/>
    <col min="5" max="5" width="15.6640625" style="11" customWidth="1"/>
    <col min="6" max="6" width="41.83203125" style="11" customWidth="1"/>
    <col min="7" max="7" width="11.5" style="11" customWidth="1"/>
    <col min="8" max="8" width="15.6640625" style="11" customWidth="1"/>
    <col min="9" max="9" width="10.6640625" style="11" customWidth="1"/>
    <col min="10" max="10" width="10.83203125" style="11" customWidth="1"/>
    <col min="11" max="11" width="10.6640625" style="11" customWidth="1"/>
    <col min="12" max="16384" width="11" style="11"/>
  </cols>
  <sheetData>
    <row r="1" spans="1:13" ht="15" customHeight="1" x14ac:dyDescent="0.2">
      <c r="I1" s="14"/>
    </row>
    <row r="2" spans="1:13" ht="19" x14ac:dyDescent="0.25">
      <c r="D2" s="27" t="str">
        <f>VLOOKUP("General_Header",Hidden_Translations!$B$11:$J$129,Hidden_Translations!$C$8,FALSE)</f>
        <v>Boosting Energy Transition of the Dairy value chain (BETTED project)</v>
      </c>
      <c r="E2" s="23"/>
      <c r="F2" s="23"/>
      <c r="G2" s="23"/>
      <c r="H2" s="23"/>
      <c r="I2" s="23"/>
      <c r="J2" s="23"/>
      <c r="K2" s="23"/>
    </row>
    <row r="3" spans="1:13" ht="15" customHeight="1" x14ac:dyDescent="0.2"/>
    <row r="4" spans="1:13" ht="19" x14ac:dyDescent="0.2">
      <c r="D4" s="29" t="str">
        <f>VLOOKUP("Identification_Header",Hidden_Translations!$B$11:$J$129,Hidden_Translations!$C$8,FALSE)</f>
        <v>#7: NEB Evaluator: Identify relevant non-energy benefits for your energy efficiency measure</v>
      </c>
      <c r="E4" s="29"/>
      <c r="F4" s="29"/>
      <c r="G4" s="29"/>
      <c r="H4" s="29"/>
      <c r="I4" s="29"/>
      <c r="J4" s="29"/>
      <c r="K4" s="29"/>
    </row>
    <row r="5" spans="1:13" ht="15" customHeight="1" x14ac:dyDescent="0.2">
      <c r="D5" s="28"/>
    </row>
    <row r="6" spans="1:13" ht="60" customHeight="1" x14ac:dyDescent="0.2">
      <c r="D6" s="108" t="str">
        <f>VLOOKUP("Identification_Header_Text",Hidden_Translations!$B$11:$J$129,Hidden_Translations!$C$8,FALSE)</f>
        <v>Energy efficiency measures (EEMs) can entail, additionally to the evident energy savings, non-energy related benefits (NEBs), such as enhanced competitiveness, reduced maintenance requirements or an improved working environment. A sample dairy supply chain consists of several stages from the raw material supplier to the retailer. In the following you are invited to analyze an exemplary EEM implemented in your company or supply chain and consider the positive effects for you and other stages of your chain.</v>
      </c>
      <c r="E6" s="108"/>
      <c r="F6" s="108"/>
      <c r="G6" s="108"/>
      <c r="H6" s="108"/>
      <c r="I6" s="108"/>
      <c r="J6" s="108"/>
      <c r="K6" s="108"/>
      <c r="M6" s="14"/>
    </row>
    <row r="7" spans="1:13" ht="15" customHeight="1" x14ac:dyDescent="0.2">
      <c r="J7" s="14"/>
    </row>
    <row r="8" spans="1:13" ht="15" customHeight="1" x14ac:dyDescent="0.2">
      <c r="D8" s="69" t="str">
        <f>VLOOKUP("Identification_Define",Hidden_Translations!$B$11:$J$129,Hidden_Translations!$C$8,FALSE)</f>
        <v>Define your energy efficiency measure</v>
      </c>
      <c r="E8" s="70"/>
      <c r="F8" s="70"/>
      <c r="G8" s="70"/>
      <c r="H8" s="70"/>
      <c r="I8" s="70"/>
      <c r="J8" s="70"/>
      <c r="K8" s="70"/>
    </row>
    <row r="9" spans="1:13" s="16" customFormat="1" ht="15" customHeight="1" x14ac:dyDescent="0.2">
      <c r="A9" s="58"/>
      <c r="B9" s="58"/>
      <c r="C9" s="58"/>
      <c r="D9" s="103"/>
      <c r="E9" s="103"/>
      <c r="F9" s="103"/>
      <c r="G9" s="103"/>
      <c r="H9" s="103"/>
      <c r="I9" s="103"/>
    </row>
    <row r="10" spans="1:13" ht="45" customHeight="1" x14ac:dyDescent="0.2">
      <c r="D10" s="103" t="str">
        <f>VLOOKUP("Identification_Define_Text",Hidden_Translations!$B$11:$J$129,Hidden_Translations!$C$8,FALSE)</f>
        <v>Choose and describe a recently implemented EEM in your company if available. If no recent measures have been implemented choose a hypothetical measure on the basis of your experience. Please consider whether there are already implemented or planned energy saving projects in cooperation with other members of your dairy supply chain that could be interesting for an evaluation.</v>
      </c>
      <c r="E10" s="103"/>
      <c r="F10" s="103"/>
      <c r="G10" s="103"/>
      <c r="H10" s="103"/>
      <c r="I10" s="103"/>
      <c r="J10" s="103"/>
      <c r="K10" s="103"/>
    </row>
    <row r="11" spans="1:13" s="16" customFormat="1" ht="14.25" customHeight="1" x14ac:dyDescent="0.2">
      <c r="A11" s="58"/>
      <c r="B11" s="58"/>
      <c r="C11" s="58"/>
      <c r="D11" s="22"/>
    </row>
    <row r="12" spans="1:13" ht="30" customHeight="1" x14ac:dyDescent="0.2">
      <c r="D12" s="116" t="str">
        <f>VLOOKUP("Identification_Title",Hidden_Translations!$B$11:$J$129,Hidden_Translations!$C$8,FALSE)</f>
        <v>Title of EEM</v>
      </c>
      <c r="E12" s="117"/>
      <c r="F12" s="113"/>
      <c r="G12" s="114"/>
      <c r="H12" s="114"/>
      <c r="I12" s="114"/>
      <c r="J12" s="114"/>
      <c r="K12" s="115"/>
    </row>
    <row r="13" spans="1:13" ht="75" customHeight="1" x14ac:dyDescent="0.2">
      <c r="D13" s="11" t="str">
        <f>VLOOKUP("Identification_Description",Hidden_Translations!$B$11:$J$129,Hidden_Translations!$C$8,FALSE)</f>
        <v>Description</v>
      </c>
      <c r="F13" s="113"/>
      <c r="G13" s="114"/>
      <c r="H13" s="114"/>
      <c r="I13" s="114"/>
      <c r="J13" s="114"/>
      <c r="K13" s="115"/>
    </row>
    <row r="16" spans="1:13" x14ac:dyDescent="0.2">
      <c r="D16" s="69" t="str">
        <f>VLOOKUP("Identification_Select",Hidden_Translations!$B$11:$J$129,Hidden_Translations!$C$8,FALSE)</f>
        <v>Select relevant non-energy benefits</v>
      </c>
      <c r="E16" s="70"/>
      <c r="F16" s="70"/>
      <c r="G16" s="70"/>
      <c r="H16" s="70"/>
      <c r="I16" s="70"/>
      <c r="J16" s="69"/>
      <c r="K16" s="70"/>
    </row>
    <row r="17" spans="4:12" ht="15" customHeight="1" x14ac:dyDescent="0.2">
      <c r="E17" s="103"/>
      <c r="F17" s="103"/>
      <c r="G17" s="103"/>
      <c r="H17" s="103"/>
      <c r="I17" s="103"/>
      <c r="J17" s="103"/>
      <c r="K17" s="103"/>
      <c r="L17" s="3"/>
    </row>
    <row r="18" spans="4:12" ht="30" customHeight="1" x14ac:dyDescent="0.2">
      <c r="D18" s="103" t="str">
        <f>VLOOKUP("Identification_Select_Text",Hidden_Translations!$B$11:$J$129,Hidden_Translations!$C$8,FALSE)</f>
        <v xml:space="preserve">For your chosen EEM: Please go through the three steps below, i.e. identify relevant NEBs and evaluate and analyse their importance for the strategy of your company respectively dairy supply chain. </v>
      </c>
      <c r="E18" s="103"/>
      <c r="F18" s="103"/>
      <c r="G18" s="103"/>
      <c r="H18" s="103"/>
      <c r="I18" s="103"/>
      <c r="J18" s="103"/>
      <c r="K18" s="103"/>
      <c r="L18" s="3"/>
    </row>
    <row r="19" spans="4:12" ht="15" customHeight="1" x14ac:dyDescent="0.2">
      <c r="E19" s="17"/>
      <c r="F19" s="17"/>
      <c r="G19" s="17"/>
      <c r="H19" s="17"/>
      <c r="I19" s="17"/>
      <c r="J19" s="17"/>
      <c r="K19" s="17"/>
      <c r="L19" s="3"/>
    </row>
    <row r="20" spans="4:12" ht="30" customHeight="1" x14ac:dyDescent="0.2">
      <c r="D20" s="20" t="str">
        <f>VLOOKUP("Identification_Relevance",Hidden_Translations!$B$11:$J$129,Hidden_Translations!$C$8,FALSE)</f>
        <v>#1: Relevance</v>
      </c>
      <c r="E20" s="103" t="str">
        <f>VLOOKUP("Identification_Relevance_Text",Hidden_Translations!$B$11:$J$129,Hidden_Translations!$C$8,FALSE)</f>
        <v xml:space="preserve">Relevant NEBs: Please go through the list of NEBs along with suggested indicators and select those relevant for your EEM by an 'X' (column G). </v>
      </c>
      <c r="F20" s="103"/>
      <c r="G20" s="103"/>
      <c r="H20" s="103"/>
      <c r="I20" s="103"/>
      <c r="J20" s="103"/>
      <c r="K20" s="103"/>
      <c r="L20" s="3"/>
    </row>
    <row r="21" spans="4:12" x14ac:dyDescent="0.2">
      <c r="D21" s="2"/>
      <c r="E21" s="17"/>
      <c r="F21" s="17"/>
      <c r="G21" s="17"/>
      <c r="H21" s="17"/>
      <c r="I21" s="17"/>
      <c r="J21" s="17"/>
      <c r="K21" s="17"/>
      <c r="L21" s="17"/>
    </row>
    <row r="22" spans="4:12" x14ac:dyDescent="0.2">
      <c r="D22" s="20" t="str">
        <f>VLOOKUP("Identification_Importance",Hidden_Translations!$B$11:$J$129,Hidden_Translations!$C$8,FALSE)</f>
        <v>#2: Importance</v>
      </c>
      <c r="E22" s="103" t="str">
        <f>VLOOKUP("Identification_Importance_Text",Hidden_Translations!$B$11:$J$129,Hidden_Translations!$C$8,FALSE)</f>
        <v>Strategic importance: Evaluate their importance to strategy by the appropriate selection (column H).</v>
      </c>
      <c r="F22" s="103"/>
      <c r="G22" s="103"/>
      <c r="H22" s="103"/>
      <c r="I22" s="103"/>
      <c r="J22" s="103"/>
      <c r="K22" s="103"/>
      <c r="L22" s="103"/>
    </row>
    <row r="23" spans="4:12" ht="19" x14ac:dyDescent="0.2">
      <c r="D23" s="2"/>
      <c r="E23" s="25"/>
    </row>
    <row r="24" spans="4:12" ht="45" customHeight="1" x14ac:dyDescent="0.2">
      <c r="D24" s="20" t="str">
        <f>VLOOKUP("Identification_Analysis",Hidden_Translations!$B$11:$J$129,Hidden_Translations!$C$8,FALSE)</f>
        <v>#3: Analysis</v>
      </c>
      <c r="E24" s="103" t="str">
        <f>VLOOKUP("Identification_Analysis_Text",Hidden_Translations!$B$11:$J$129,Hidden_Translations!$C$8,FALSE)</f>
        <v>Strategic analysis: Start with the highest ranked NEBs and classify their contribution to the strategy according to cost decrease, value propostion increase and risk reduction for your EEM (put an "X" accordingly, maximum of 5 per category, columns I to K).</v>
      </c>
      <c r="F24" s="103"/>
      <c r="G24" s="103"/>
      <c r="H24" s="103"/>
      <c r="I24" s="103"/>
      <c r="J24" s="103"/>
      <c r="K24" s="103"/>
      <c r="L24" s="3"/>
    </row>
    <row r="25" spans="4:12" ht="15" customHeight="1" x14ac:dyDescent="0.2">
      <c r="E25" s="17"/>
      <c r="F25" s="17"/>
      <c r="G25" s="17"/>
      <c r="H25" s="17"/>
      <c r="I25" s="17"/>
      <c r="J25" s="17"/>
      <c r="K25" s="17"/>
      <c r="L25" s="17"/>
    </row>
    <row r="26" spans="4:12" ht="30" customHeight="1" x14ac:dyDescent="0.2">
      <c r="D26" s="17"/>
      <c r="E26" s="26" t="str">
        <f>VLOOKUP("Identification_Analysis_Costs",Hidden_Translations!$B$11:$J$129,Hidden_Translations!$C$8,FALSE)</f>
        <v xml:space="preserve">Costs: </v>
      </c>
      <c r="F26" s="103" t="str">
        <f>VLOOKUP("Identification_Analysis_Costs_Text",Hidden_Translations!$B$11:$J$129,Hidden_Translations!$C$8,FALSE)</f>
        <v>Monetary savings from the introduction of the EEM. EEMs can reduce costs in a company, well beyond the energy costs.</v>
      </c>
      <c r="G26" s="103"/>
      <c r="H26" s="103"/>
      <c r="I26" s="103"/>
      <c r="J26" s="103"/>
      <c r="K26" s="103"/>
      <c r="L26" s="3"/>
    </row>
    <row r="27" spans="4:12" ht="15" customHeight="1" x14ac:dyDescent="0.2">
      <c r="E27" s="17"/>
      <c r="F27" s="17"/>
      <c r="G27" s="17"/>
      <c r="H27" s="17"/>
      <c r="I27" s="17"/>
      <c r="J27" s="17"/>
      <c r="K27" s="17"/>
      <c r="L27" s="17"/>
    </row>
    <row r="28" spans="4:12" ht="30.75" customHeight="1" x14ac:dyDescent="0.2">
      <c r="D28" s="17"/>
      <c r="E28" s="26" t="str">
        <f>VLOOKUP("Identification_Analysis_Value",Hidden_Translations!$B$11:$J$129,Hidden_Translations!$C$8,FALSE)</f>
        <v xml:space="preserve">Value proposition:  </v>
      </c>
      <c r="F28" s="103" t="str">
        <f>VLOOKUP("Identification_Analysis_Value_Text",Hidden_Translations!$B$11:$J$129,Hidden_Translations!$C$8,FALSE)</f>
        <v>Non-monetary value added from the EEM for the customer or employees. Increased value translates in additional income. E.g. customers want to buy more of the high-quality products.</v>
      </c>
      <c r="G28" s="103"/>
      <c r="H28" s="103"/>
      <c r="I28" s="103"/>
      <c r="J28" s="103"/>
      <c r="K28" s="103"/>
      <c r="L28" s="17"/>
    </row>
    <row r="29" spans="4:12" ht="15" customHeight="1" x14ac:dyDescent="0.2">
      <c r="D29" s="17"/>
      <c r="E29" s="26"/>
      <c r="F29" s="17"/>
      <c r="G29" s="17"/>
      <c r="H29" s="17"/>
      <c r="I29" s="17"/>
      <c r="J29" s="17"/>
      <c r="K29" s="17"/>
      <c r="L29" s="17"/>
    </row>
    <row r="30" spans="4:12" ht="30" customHeight="1" x14ac:dyDescent="0.2">
      <c r="D30" s="17"/>
      <c r="E30" s="26" t="str">
        <f>VLOOKUP("Identification_Analysis_Risks",Hidden_Translations!$B$11:$J$129,Hidden_Translations!$C$8,FALSE)</f>
        <v xml:space="preserve">Risks: </v>
      </c>
      <c r="F30" s="103" t="str">
        <f>VLOOKUP("Identification_Analysis_Risks_Text",Hidden_Translations!$B$11:$J$129,Hidden_Translations!$C$8,FALSE)</f>
        <v xml:space="preserve">EEMs can entail a reduction of important risks translating in value proposition increase and cost decrease. E.g. reduced risk of staff illness or production </v>
      </c>
      <c r="G30" s="103"/>
      <c r="H30" s="103"/>
      <c r="I30" s="103"/>
      <c r="J30" s="103"/>
      <c r="K30" s="103"/>
      <c r="L30" s="17"/>
    </row>
    <row r="31" spans="4:12" ht="15" customHeight="1" x14ac:dyDescent="0.2">
      <c r="D31" s="17"/>
      <c r="E31" s="26"/>
      <c r="F31" s="17"/>
      <c r="G31" s="17"/>
      <c r="H31" s="17"/>
      <c r="I31" s="17"/>
      <c r="J31" s="17"/>
      <c r="K31" s="17"/>
      <c r="L31" s="17"/>
    </row>
    <row r="32" spans="4:12" ht="30" customHeight="1" x14ac:dyDescent="0.2">
      <c r="D32" s="111" t="str">
        <f>VLOOKUP("Identification_Area",Hidden_Translations!$B$11:$J$129,Hidden_Translations!$C$8,FALSE)</f>
        <v>Area and non-energy benefit</v>
      </c>
      <c r="E32" s="111"/>
      <c r="F32" s="71" t="str">
        <f>VLOOKUP("Identification_Sample",Hidden_Translations!$B$11:$J$129,Hidden_Translations!$C$8,FALSE)</f>
        <v>Sample indicators</v>
      </c>
      <c r="G32" s="68" t="str">
        <f>VLOOKUP("Identification_Step1",Hidden_Translations!$B$11:$J$129,Hidden_Translations!$C$8,FALSE)</f>
        <v>Step #1: 
Relevance</v>
      </c>
      <c r="H32" s="68" t="str">
        <f>VLOOKUP("Identification_Step2",Hidden_Translations!$B$11:$J$129,Hidden_Translations!$C$8,FALSE)</f>
        <v>Step #2: 
Importance</v>
      </c>
      <c r="I32" s="112" t="str">
        <f>VLOOKUP("Identification_Step3",Hidden_Translations!$B$11:$J$129,Hidden_Translations!$C$8,FALSE)</f>
        <v>Step #3: 
Strategic analysis</v>
      </c>
      <c r="J32" s="112"/>
      <c r="K32" s="112"/>
    </row>
    <row r="33" spans="1:13" ht="30" customHeight="1" x14ac:dyDescent="0.2">
      <c r="D33" s="67"/>
      <c r="E33" s="67"/>
      <c r="F33" s="67"/>
      <c r="G33" s="68"/>
      <c r="H33" s="67"/>
      <c r="I33" s="67" t="str">
        <f>VLOOKUP("Identification_Analysis_Costs",Hidden_Translations!$B$11:$J$129,Hidden_Translations!$C$8,FALSE)</f>
        <v xml:space="preserve">Costs: </v>
      </c>
      <c r="J33" s="68" t="str">
        <f>VLOOKUP("Identification_Analysis_Value",Hidden_Translations!$B$11:$J$129,Hidden_Translations!$C$8,FALSE)</f>
        <v xml:space="preserve">Value proposition:  </v>
      </c>
      <c r="K33" s="67" t="str">
        <f>VLOOKUP("Identification_Analysis_Risks",Hidden_Translations!$B$11:$J$129,Hidden_Translations!$C$8,FALSE)</f>
        <v xml:space="preserve">Risks: </v>
      </c>
    </row>
    <row r="34" spans="1:13" ht="15" customHeight="1" x14ac:dyDescent="0.2">
      <c r="A34" s="58">
        <f>MAX(A36:A100)</f>
        <v>0</v>
      </c>
      <c r="B34" s="58">
        <f>MAX(B36:B100)</f>
        <v>0</v>
      </c>
      <c r="C34" s="58">
        <f>MAX(C36:C100)</f>
        <v>0</v>
      </c>
      <c r="D34" s="30"/>
      <c r="E34" s="30"/>
      <c r="F34" s="30"/>
      <c r="G34" s="109" t="str">
        <f>IF(OR(A34&gt;31,B34&gt;31,C34&gt;31),VLOOKUP("Identification_Warning",Hidden_Translations!$B$11:$K$1045, Hidden_Translations!$C$8,FALSE),"")</f>
        <v/>
      </c>
      <c r="H34" s="109"/>
      <c r="I34" s="109"/>
      <c r="J34" s="109"/>
      <c r="K34" s="109"/>
      <c r="M34" s="14"/>
    </row>
    <row r="35" spans="1:13" ht="15" customHeight="1" x14ac:dyDescent="0.2">
      <c r="D35" s="72" t="str">
        <f>VLOOKUP("Identification_Area1",Hidden_Translations!$B$11:$J$129,Hidden_Translations!$C$8,FALSE)</f>
        <v>Area: Production &amp; products</v>
      </c>
      <c r="E35" s="72"/>
      <c r="F35" s="73"/>
      <c r="G35" s="68"/>
      <c r="H35" s="67"/>
      <c r="I35" s="118" t="str">
        <f>VLOOKUP("Identification_maximum",Hidden_Translations!$B$11:$J$129,Hidden_Translations!$C$8,FALSE)</f>
        <v>(maximum of 5 per category)</v>
      </c>
      <c r="J35" s="118"/>
      <c r="K35" s="118"/>
    </row>
    <row r="36" spans="1:13" ht="30" customHeight="1" x14ac:dyDescent="0.2">
      <c r="A36" s="58">
        <f>IF(I36="X",1,0)</f>
        <v>0</v>
      </c>
      <c r="B36" s="58">
        <f>IF(J36="X",1,0)</f>
        <v>0</v>
      </c>
      <c r="C36" s="58">
        <f>IF(K36="X",1,0)</f>
        <v>0</v>
      </c>
      <c r="D36" s="107" t="str">
        <f>VLOOKUP("Identification_Area1_Text1",Hidden_Translations!$B$11:$J$129,Hidden_Translations!$C$8,FALSE)</f>
        <v xml:space="preserve">Reduced malfunction or breakdown of machinery and equipment </v>
      </c>
      <c r="E36" s="107"/>
      <c r="F36" s="3" t="str">
        <f>VLOOKUP("Identification_Sample1_Text1",Hidden_Translations!$B$11:$J$129,Hidden_Translations!$C$8,FALSE)</f>
        <v>Number of breakdowns/defects</v>
      </c>
      <c r="G36" s="60"/>
      <c r="H36" s="61"/>
      <c r="I36" s="62"/>
      <c r="J36" s="62"/>
      <c r="K36" s="62"/>
    </row>
    <row r="37" spans="1:13" ht="30" customHeight="1" x14ac:dyDescent="0.2">
      <c r="A37" s="58">
        <f>IF(I37="X",SUM(A$36:A36)+1,0)</f>
        <v>0</v>
      </c>
      <c r="B37" s="58">
        <f>IF(J37="X",SUM(B$36:B36)+1,0)</f>
        <v>0</v>
      </c>
      <c r="C37" s="58">
        <f>IF(K37="X",SUM(C$36:C36)+1,0)</f>
        <v>0</v>
      </c>
      <c r="D37" s="107" t="str">
        <f>VLOOKUP("Identification_Area1_Text2",Hidden_Translations!$B$11:$J$129,Hidden_Translations!$C$8,FALSE)</f>
        <v>Improved equipment performance</v>
      </c>
      <c r="E37" s="107"/>
      <c r="F37" s="3" t="str">
        <f>VLOOKUP("Identification_Sample1_Text2",Hidden_Translations!$B$11:$J$129,Hidden_Translations!$C$8,FALSE)</f>
        <v>Percent default pieces/pieces produced</v>
      </c>
      <c r="G37" s="60"/>
      <c r="H37" s="61"/>
      <c r="I37" s="62"/>
      <c r="J37" s="62"/>
      <c r="K37" s="62"/>
    </row>
    <row r="38" spans="1:13" ht="30" customHeight="1" x14ac:dyDescent="0.2">
      <c r="A38" s="58">
        <f>IF(I38="X",SUM(A$36:A37)+1,0)</f>
        <v>0</v>
      </c>
      <c r="B38" s="58">
        <f>IF(J38="X",SUM(B$36:B37)+1,0)</f>
        <v>0</v>
      </c>
      <c r="C38" s="58">
        <f>IF(K38="X",SUM(C$36:C37)+1,0)</f>
        <v>0</v>
      </c>
      <c r="D38" s="107" t="str">
        <f>VLOOKUP("Identification_Area1_Text3",Hidden_Translations!$B$11:$J$129,Hidden_Translations!$C$8,FALSE)</f>
        <v>Longer equipment life (due to reduced wear and tear)</v>
      </c>
      <c r="E38" s="107"/>
      <c r="F38" s="3" t="str">
        <f>VLOOKUP("Identification_Sample1_Text3",Hidden_Translations!$B$11:$J$129,Hidden_Translations!$C$8,FALSE)</f>
        <v xml:space="preserve">Cost of equipment - spending delayed </v>
      </c>
      <c r="G38" s="60"/>
      <c r="H38" s="61"/>
      <c r="I38" s="62"/>
      <c r="J38" s="62"/>
      <c r="K38" s="62"/>
    </row>
    <row r="39" spans="1:13" ht="30" customHeight="1" x14ac:dyDescent="0.2">
      <c r="A39" s="58">
        <f>IF(I39="X",SUM(A$36:A38)+1,0)</f>
        <v>0</v>
      </c>
      <c r="B39" s="58">
        <f>IF(J39="X",SUM(B$36:B38)+1,0)</f>
        <v>0</v>
      </c>
      <c r="C39" s="58">
        <f>IF(K39="X",SUM(C$36:C38)+1,0)</f>
        <v>0</v>
      </c>
      <c r="D39" s="107" t="str">
        <f>VLOOKUP("Identification_Area1_Text4",Hidden_Translations!$B$11:$J$129,Hidden_Translations!$C$8,FALSE)</f>
        <v>Improved product quality /consistency</v>
      </c>
      <c r="E39" s="107"/>
      <c r="F39" s="3" t="str">
        <f>VLOOKUP("Identification_Sample1_Text4",Hidden_Translations!$B$11:$J$129,Hidden_Translations!$C$8,FALSE)</f>
        <v>Reduction of production losses - redo</v>
      </c>
      <c r="G39" s="60"/>
      <c r="H39" s="61"/>
      <c r="I39" s="62"/>
      <c r="J39" s="62"/>
      <c r="K39" s="62"/>
    </row>
    <row r="40" spans="1:13" ht="30" customHeight="1" x14ac:dyDescent="0.2">
      <c r="A40" s="58">
        <f>IF(I40="X",SUM(A$36:A39)+1,0)</f>
        <v>0</v>
      </c>
      <c r="B40" s="58">
        <f>IF(J40="X",SUM(B$36:B39)+1,0)</f>
        <v>0</v>
      </c>
      <c r="C40" s="58">
        <f>IF(K40="X",SUM(C$36:C39)+1,0)</f>
        <v>0</v>
      </c>
      <c r="D40" s="107" t="str">
        <f>VLOOKUP("Identification_Area1_Text5",Hidden_Translations!$B$11:$J$129,Hidden_Translations!$C$8,FALSE)</f>
        <v>Increased production reliability (due to better control)</v>
      </c>
      <c r="E40" s="107"/>
      <c r="F40" s="3" t="str">
        <f>VLOOKUP("Identification_Sample1_Text5",Hidden_Translations!$B$11:$J$129,Hidden_Translations!$C$8,FALSE)</f>
        <v>Percent of conformity to specifications/total of pieces produced</v>
      </c>
      <c r="G40" s="60"/>
      <c r="H40" s="61"/>
      <c r="I40" s="62"/>
      <c r="J40" s="62"/>
      <c r="K40" s="62"/>
    </row>
    <row r="41" spans="1:13" ht="30" customHeight="1" x14ac:dyDescent="0.2">
      <c r="A41" s="58">
        <f>IF(I41="X",SUM(A$36:A40)+1,0)</f>
        <v>0</v>
      </c>
      <c r="B41" s="58">
        <f>IF(J41="X",SUM(B$36:B40)+1,0)</f>
        <v>0</v>
      </c>
      <c r="C41" s="58">
        <f>IF(K41="X",SUM(C$36:C40)+1,0)</f>
        <v>0</v>
      </c>
      <c r="D41" s="107" t="str">
        <f>VLOOKUP("Identification_Area1_Text6",Hidden_Translations!$B$11:$J$129,Hidden_Translations!$C$8,FALSE)</f>
        <v>Larger product range</v>
      </c>
      <c r="E41" s="107"/>
      <c r="F41" s="3" t="str">
        <f>VLOOKUP("Identification_Sample1_Text6",Hidden_Translations!$B$11:$J$129,Hidden_Translations!$C$8,FALSE)</f>
        <v>Number of additional products</v>
      </c>
      <c r="G41" s="60"/>
      <c r="H41" s="61"/>
      <c r="I41" s="62"/>
      <c r="J41" s="62"/>
      <c r="K41" s="62"/>
    </row>
    <row r="42" spans="1:13" ht="30" customHeight="1" x14ac:dyDescent="0.2">
      <c r="A42" s="58">
        <f>IF(I42="X",SUM(A$36:A41)+1,0)</f>
        <v>0</v>
      </c>
      <c r="B42" s="58">
        <f>IF(J42="X",SUM(B$36:B41)+1,0)</f>
        <v>0</v>
      </c>
      <c r="C42" s="58">
        <f>IF(K42="X",SUM(C$36:C41)+1,0)</f>
        <v>0</v>
      </c>
      <c r="D42" s="107" t="str">
        <f>VLOOKUP("Identification_Area1_Text7",Hidden_Translations!$B$11:$J$129,Hidden_Translations!$C$8,FALSE)</f>
        <v>Reduced customer service costs (due to better quality)</v>
      </c>
      <c r="E42" s="107"/>
      <c r="F42" s="3" t="str">
        <f>VLOOKUP("Identification_Sample1_Text7",Hidden_Translations!$B$11:$J$129,Hidden_Translations!$C$8,FALSE)</f>
        <v>Number of product recalls * cost of product recall</v>
      </c>
      <c r="G42" s="60"/>
      <c r="H42" s="61"/>
      <c r="I42" s="62"/>
      <c r="J42" s="62"/>
      <c r="K42" s="62"/>
    </row>
    <row r="43" spans="1:13" ht="30" customHeight="1" x14ac:dyDescent="0.2">
      <c r="A43" s="58">
        <f>IF(I43="X",SUM(A$36:A42)+1,0)</f>
        <v>0</v>
      </c>
      <c r="B43" s="58">
        <f>IF(J43="X",SUM(B$36:B42)+1,0)</f>
        <v>0</v>
      </c>
      <c r="C43" s="58">
        <f>IF(K43="X",SUM(C$36:C42)+1,0)</f>
        <v>0</v>
      </c>
      <c r="D43" s="107" t="str">
        <f>VLOOKUP("Identification_Area1_Text8",Hidden_Translations!$B$11:$J$129,Hidden_Translations!$C$8,FALSE)</f>
        <v>Improved flexibility of production</v>
      </c>
      <c r="E43" s="107"/>
      <c r="F43" s="3" t="str">
        <f>VLOOKUP("Identification_Sample1_Text8",Hidden_Translations!$B$11:$J$129,Hidden_Translations!$C$8,FALSE)</f>
        <v>Time-to-market - throughput time</v>
      </c>
      <c r="G43" s="60"/>
      <c r="H43" s="61"/>
      <c r="I43" s="62"/>
      <c r="J43" s="62"/>
      <c r="K43" s="62"/>
    </row>
    <row r="44" spans="1:13" ht="30" customHeight="1" x14ac:dyDescent="0.2">
      <c r="A44" s="58">
        <f>IF(I44="X",SUM(A$36:A43)+1,0)</f>
        <v>0</v>
      </c>
      <c r="B44" s="58">
        <f>IF(J44="X",SUM(B$36:B43)+1,0)</f>
        <v>0</v>
      </c>
      <c r="C44" s="58">
        <f>IF(K44="X",SUM(C$36:C43)+1,0)</f>
        <v>0</v>
      </c>
      <c r="D44" s="107" t="str">
        <f>VLOOKUP("Identification_Area1_Text9",Hidden_Translations!$B$11:$J$129,Hidden_Translations!$C$8,FALSE)</f>
        <v>Reduced raw material need</v>
      </c>
      <c r="E44" s="107"/>
      <c r="F44" s="3" t="str">
        <f>VLOOKUP("Identification_Sample1_Text9",Hidden_Translations!$B$11:$J$129,Hidden_Translations!$C$8,FALSE)</f>
        <v>Percent of raw materials of production volume
(in t/y) * costs of material (in EUR/t)</v>
      </c>
      <c r="G44" s="60"/>
      <c r="H44" s="61"/>
      <c r="I44" s="62"/>
      <c r="J44" s="62"/>
      <c r="K44" s="62"/>
      <c r="M44" s="14"/>
    </row>
    <row r="45" spans="1:13" ht="30" customHeight="1" x14ac:dyDescent="0.2">
      <c r="A45" s="58">
        <f>IF(I45="X",SUM(A$36:A44)+1,0)</f>
        <v>0</v>
      </c>
      <c r="B45" s="58">
        <f>IF(J45="X",SUM(B$36:B44)+1,0)</f>
        <v>0</v>
      </c>
      <c r="C45" s="58">
        <f>IF(K45="X",SUM(C$36:C44)+1,0)</f>
        <v>0</v>
      </c>
      <c r="D45" s="107" t="str">
        <f>VLOOKUP("Identification_Area1_Text10",Hidden_Translations!$B$11:$J$129,Hidden_Translations!$C$8,FALSE)</f>
        <v>Reduced consumables</v>
      </c>
      <c r="E45" s="107"/>
      <c r="F45" s="3" t="str">
        <f>VLOOKUP("Identification_Sample1_Text10",Hidden_Translations!$B$11:$J$129,Hidden_Translations!$C$8,FALSE)</f>
        <v>(n/y) * price (Euro/product)</v>
      </c>
      <c r="G45" s="60"/>
      <c r="H45" s="61"/>
      <c r="I45" s="62"/>
      <c r="J45" s="62"/>
      <c r="K45" s="62"/>
    </row>
    <row r="46" spans="1:13" ht="30" customHeight="1" x14ac:dyDescent="0.2">
      <c r="A46" s="58">
        <f>IF(I46="X",SUM(A$36:A45)+1,0)</f>
        <v>0</v>
      </c>
      <c r="B46" s="58">
        <f>IF(J46="X",SUM(B$36:B45)+1,0)</f>
        <v>0</v>
      </c>
      <c r="C46" s="58">
        <f>IF(K46="X",SUM(C$36:C45)+1,0)</f>
        <v>0</v>
      </c>
      <c r="D46" s="107" t="str">
        <f>VLOOKUP("Identification_Area1_Text11",Hidden_Translations!$B$11:$J$129,Hidden_Translations!$C$8,FALSE)</f>
        <v>Shorter production cycle (shorter process cycle time)</v>
      </c>
      <c r="E46" s="107"/>
      <c r="F46" s="3" t="str">
        <f>VLOOKUP("Identification_Sample1_Text11",Hidden_Translations!$B$11:$J$129,Hidden_Translations!$C$8,FALSE)</f>
        <v>Duration of production time</v>
      </c>
      <c r="G46" s="60"/>
      <c r="H46" s="61"/>
      <c r="I46" s="62"/>
      <c r="J46" s="62"/>
      <c r="K46" s="62"/>
    </row>
    <row r="47" spans="1:13" ht="30" customHeight="1" x14ac:dyDescent="0.2">
      <c r="A47" s="58">
        <f>IF(I47="X",SUM(A$36:A46)+1,0)</f>
        <v>0</v>
      </c>
      <c r="B47" s="58">
        <f>IF(J47="X",SUM(B$36:B46)+1,0)</f>
        <v>0</v>
      </c>
      <c r="C47" s="58">
        <f>IF(K47="X",SUM(C$36:C46)+1,0)</f>
        <v>0</v>
      </c>
      <c r="D47" s="107" t="str">
        <f>VLOOKUP("Identification_Area1_Text12",Hidden_Translations!$B$11:$J$129,Hidden_Translations!$C$8,FALSE)</f>
        <v>Increased production volume</v>
      </c>
      <c r="E47" s="107"/>
      <c r="F47" s="3" t="str">
        <f>VLOOKUP("Identification_Sample1_Text12",Hidden_Translations!$B$11:$J$129,Hidden_Translations!$C$8,FALSE)</f>
        <v>(n/y) * price (Euro/product)</v>
      </c>
      <c r="G47" s="60"/>
      <c r="H47" s="61"/>
      <c r="I47" s="62"/>
      <c r="J47" s="62"/>
      <c r="K47" s="62"/>
    </row>
    <row r="48" spans="1:13" ht="30" customHeight="1" x14ac:dyDescent="0.2">
      <c r="A48" s="58">
        <f>IF(I48="X",SUM(A$36:A47)+1,0)</f>
        <v>0</v>
      </c>
      <c r="B48" s="58">
        <f>IF(J48="X",SUM(B$36:B47)+1,0)</f>
        <v>0</v>
      </c>
      <c r="C48" s="58">
        <f>IF(K48="X",SUM(C$36:C47)+1,0)</f>
        <v>0</v>
      </c>
      <c r="D48" s="107" t="str">
        <f>VLOOKUP("Identification_Area1_Text13",Hidden_Translations!$B$11:$J$129,Hidden_Translations!$C$8,FALSE)</f>
        <v>Increased production yields</v>
      </c>
      <c r="E48" s="107"/>
      <c r="F48" s="3" t="str">
        <f>VLOOKUP("Identification_Sample1_Text13",Hidden_Translations!$B$11:$J$129,Hidden_Translations!$C$8,FALSE)</f>
        <v>Output total/input total</v>
      </c>
      <c r="G48" s="60"/>
      <c r="H48" s="61"/>
      <c r="I48" s="62"/>
      <c r="J48" s="62"/>
      <c r="K48" s="62"/>
    </row>
    <row r="49" spans="1:11" s="16" customFormat="1" ht="15" customHeight="1" x14ac:dyDescent="0.2">
      <c r="A49" s="58"/>
      <c r="B49" s="58"/>
      <c r="C49" s="58"/>
      <c r="G49" s="109"/>
      <c r="H49" s="109"/>
      <c r="I49" s="109"/>
      <c r="J49" s="109"/>
      <c r="K49" s="109"/>
    </row>
    <row r="50" spans="1:11" ht="15" customHeight="1" x14ac:dyDescent="0.2">
      <c r="D50" s="72" t="str">
        <f>VLOOKUP("Identification_Area2",Hidden_Translations!$B$11:$J$129,Hidden_Translations!$C$8,FALSE)</f>
        <v>Area: Waste &amp; water</v>
      </c>
      <c r="E50" s="72"/>
      <c r="F50" s="73"/>
      <c r="G50" s="68"/>
      <c r="H50" s="67"/>
      <c r="I50" s="118"/>
      <c r="J50" s="118"/>
      <c r="K50" s="118"/>
    </row>
    <row r="51" spans="1:11" ht="30" customHeight="1" x14ac:dyDescent="0.2">
      <c r="A51" s="58">
        <f>IF(I51="X",SUM(A$36:A50)+1,0)</f>
        <v>0</v>
      </c>
      <c r="B51" s="58">
        <f>IF(J51="X",SUM(B$36:B50)+1,0)</f>
        <v>0</v>
      </c>
      <c r="C51" s="58">
        <f>IF(K51="X",SUM(C$36:C50)+1,0)</f>
        <v>0</v>
      </c>
      <c r="D51" s="107" t="str">
        <f>VLOOKUP("Identification_Area2_Text1",Hidden_Translations!$B$11:$K$1045,Hidden_Translations!$C$8,FALSE)</f>
        <v>Reduced waste heat</v>
      </c>
      <c r="E51" s="107" t="s">
        <v>2</v>
      </c>
      <c r="F51" s="3" t="str">
        <f>VLOOKUP("Identification_Sample2_Text1",Hidden_Translations!$B$11:$K$1045,Hidden_Translations!$C$8,FALSE)</f>
        <v>Quantity (total or as % of production)</v>
      </c>
      <c r="G51" s="60"/>
      <c r="H51" s="61"/>
      <c r="I51" s="62"/>
      <c r="J51" s="62"/>
      <c r="K51" s="62"/>
    </row>
    <row r="52" spans="1:11" ht="30" customHeight="1" x14ac:dyDescent="0.2">
      <c r="A52" s="58">
        <f>IF(I52="X",SUM(A$36:A51)+1,0)</f>
        <v>0</v>
      </c>
      <c r="B52" s="58">
        <f>IF(J52="X",SUM(B$36:B51)+1,0)</f>
        <v>0</v>
      </c>
      <c r="C52" s="58">
        <f>IF(K52="X",SUM(C$36:C51)+1,0)</f>
        <v>0</v>
      </c>
      <c r="D52" s="107" t="str">
        <f>VLOOKUP("Identification_Area2_Text2",Hidden_Translations!$B$11:$K$1045,Hidden_Translations!$C$8,FALSE)</f>
        <v>Re-use of waste heat</v>
      </c>
      <c r="E52" s="107" t="s">
        <v>2</v>
      </c>
      <c r="F52" s="3" t="str">
        <f>VLOOKUP("Identification_Sample2_Text2",Hidden_Translations!$B$11:$K$1045,Hidden_Translations!$C$8,FALSE)</f>
        <v>Quantity (% of total waste heat)</v>
      </c>
      <c r="G52" s="60"/>
      <c r="H52" s="61"/>
      <c r="I52" s="62"/>
      <c r="J52" s="62"/>
      <c r="K52" s="62"/>
    </row>
    <row r="53" spans="1:11" ht="30" customHeight="1" x14ac:dyDescent="0.2">
      <c r="A53" s="58">
        <f>IF(I53="X",SUM(A$36:A52)+1,0)</f>
        <v>0</v>
      </c>
      <c r="B53" s="58">
        <f>IF(J53="X",SUM(B$36:B52)+1,0)</f>
        <v>0</v>
      </c>
      <c r="C53" s="58">
        <f>IF(K53="X",SUM(C$36:C52)+1,0)</f>
        <v>0</v>
      </c>
      <c r="D53" s="107" t="str">
        <f>VLOOKUP("Identification_Area2_Text3",Hidden_Translations!$B$11:$K$1045,Hidden_Translations!$C$8,FALSE)</f>
        <v>Reduced hazardous waste</v>
      </c>
      <c r="E53" s="107" t="s">
        <v>2</v>
      </c>
      <c r="F53" s="3" t="str">
        <f>VLOOKUP("Identification_Sample2_Text3",Hidden_Translations!$B$11:$K$1045,Hidden_Translations!$C$8,FALSE)</f>
        <v>(kg/y) * disposal costs (Euro/kg)</v>
      </c>
      <c r="G53" s="60"/>
      <c r="H53" s="61"/>
      <c r="I53" s="62"/>
      <c r="J53" s="62"/>
      <c r="K53" s="62"/>
    </row>
    <row r="54" spans="1:11" ht="30" customHeight="1" x14ac:dyDescent="0.2">
      <c r="A54" s="58">
        <f>IF(I54="X",SUM(A$36:A53)+1,0)</f>
        <v>0</v>
      </c>
      <c r="B54" s="58">
        <f>IF(J54="X",SUM(B$36:B53)+1,0)</f>
        <v>0</v>
      </c>
      <c r="C54" s="58">
        <f>IF(K54="X",SUM(C$36:C53)+1,0)</f>
        <v>0</v>
      </c>
      <c r="D54" s="107" t="str">
        <f>VLOOKUP("Identification_Area2_Text4",Hidden_Translations!$B$11:$K$1045,Hidden_Translations!$C$8,FALSE)</f>
        <v>Reduced water consumption</v>
      </c>
      <c r="E54" s="107" t="s">
        <v>2</v>
      </c>
      <c r="F54" s="3" t="str">
        <f>VLOOKUP("Identification_Sample2_Text4",Hidden_Translations!$B$11:$K$1045,Hidden_Translations!$C$8,FALSE)</f>
        <v>Water - production volume (or in % of turnover)
(m3/y) * costs of water (in EUR/m3)</v>
      </c>
      <c r="G54" s="60"/>
      <c r="H54" s="61"/>
      <c r="I54" s="62"/>
      <c r="J54" s="62"/>
      <c r="K54" s="62"/>
    </row>
    <row r="55" spans="1:11" ht="30" customHeight="1" x14ac:dyDescent="0.2">
      <c r="A55" s="58">
        <f>IF(I55="X",SUM(A$36:A54)+1,0)</f>
        <v>0</v>
      </c>
      <c r="B55" s="58">
        <f>IF(J55="X",SUM(B$36:B54)+1,0)</f>
        <v>0</v>
      </c>
      <c r="C55" s="58">
        <f>IF(K55="X",SUM(C$36:C54)+1,0)</f>
        <v>0</v>
      </c>
      <c r="D55" s="107" t="str">
        <f>VLOOKUP("Identification_Area2_Text5",Hidden_Translations!$B$11:$K$1045,Hidden_Translations!$C$8,FALSE)</f>
        <v>Reduced sewage volume</v>
      </c>
      <c r="E55" s="107" t="s">
        <v>2</v>
      </c>
      <c r="F55" s="3" t="str">
        <f>VLOOKUP("Identification_Sample2_Text5",Hidden_Translations!$B$11:$K$1045,Hidden_Translations!$C$8,FALSE)</f>
        <v>Quantity (total or as % of production)</v>
      </c>
      <c r="G55" s="60"/>
      <c r="H55" s="61"/>
      <c r="I55" s="62"/>
      <c r="J55" s="62"/>
      <c r="K55" s="62"/>
    </row>
    <row r="56" spans="1:11" ht="30" customHeight="1" x14ac:dyDescent="0.2">
      <c r="A56" s="58">
        <f>IF(I56="X",SUM(A$36:A55)+1,0)</f>
        <v>0</v>
      </c>
      <c r="B56" s="58">
        <f>IF(J56="X",SUM(B$36:B55)+1,0)</f>
        <v>0</v>
      </c>
      <c r="C56" s="58">
        <f>IF(K56="X",SUM(C$36:C55)+1,0)</f>
        <v>0</v>
      </c>
      <c r="D56" s="107" t="str">
        <f>VLOOKUP("Identification_Area2_Text6",Hidden_Translations!$B$11:$K$1045,Hidden_Translations!$C$8,FALSE)</f>
        <v>Reduced sewage pollution level</v>
      </c>
      <c r="E56" s="107" t="s">
        <v>2</v>
      </c>
      <c r="F56" s="3" t="str">
        <f>VLOOKUP("Identification_Sample2_Text6",Hidden_Translations!$B$11:$K$1045,Hidden_Translations!$C$8,FALSE)</f>
        <v>Composition</v>
      </c>
      <c r="G56" s="60"/>
      <c r="H56" s="61"/>
      <c r="I56" s="62"/>
      <c r="J56" s="62"/>
      <c r="K56" s="62"/>
    </row>
    <row r="57" spans="1:11" ht="30" customHeight="1" x14ac:dyDescent="0.2">
      <c r="A57" s="58">
        <f>IF(I57="X",SUM(A$36:A56)+1,0)</f>
        <v>0</v>
      </c>
      <c r="B57" s="58">
        <f>IF(J57="X",SUM(B$36:B56)+1,0)</f>
        <v>0</v>
      </c>
      <c r="C57" s="58">
        <f>IF(K57="X",SUM(C$36:C56)+1,0)</f>
        <v>0</v>
      </c>
      <c r="D57" s="107" t="str">
        <f>VLOOKUP("Identification_Area2_Text7",Hidden_Translations!$B$11:$K$1045,Hidden_Translations!$C$8,FALSE)</f>
        <v>Reduced product waste</v>
      </c>
      <c r="E57" s="107" t="s">
        <v>2</v>
      </c>
      <c r="F57" s="3" t="str">
        <f>VLOOKUP("Identification_Sample2_Text7",Hidden_Translations!$B$11:$K$1045,Hidden_Translations!$C$8,FALSE)</f>
        <v>Quantity (total or as % of production)</v>
      </c>
      <c r="G57" s="60"/>
      <c r="H57" s="61"/>
      <c r="I57" s="62"/>
      <c r="J57" s="62"/>
      <c r="K57" s="62"/>
    </row>
    <row r="58" spans="1:11" ht="30" customHeight="1" x14ac:dyDescent="0.2">
      <c r="A58" s="58">
        <f>IF(I58="X",SUM(A$36:A57)+1,0)</f>
        <v>0</v>
      </c>
      <c r="B58" s="58">
        <f>IF(J58="X",SUM(B$36:B57)+1,0)</f>
        <v>0</v>
      </c>
      <c r="C58" s="58">
        <f>IF(K58="X",SUM(C$36:C57)+1,0)</f>
        <v>0</v>
      </c>
      <c r="D58" s="107" t="str">
        <f>VLOOKUP("Identification_Area2_Text8",Hidden_Translations!$B$11:$K$1045,Hidden_Translations!$C$8,FALSE)</f>
        <v>Reduced other waste (e.g. non-hazardous consumables)</v>
      </c>
      <c r="E58" s="107" t="s">
        <v>2</v>
      </c>
      <c r="F58" s="3" t="str">
        <f>VLOOKUP("Identification_Sample2_Text7",Hidden_Translations!$B$11:$K$1045,Hidden_Translations!$C$8,FALSE)</f>
        <v>Quantity (total or as % of production)</v>
      </c>
      <c r="G58" s="60"/>
      <c r="H58" s="61"/>
      <c r="I58" s="62"/>
      <c r="J58" s="62"/>
      <c r="K58" s="62"/>
    </row>
    <row r="59" spans="1:11" s="16" customFormat="1" ht="15" customHeight="1" x14ac:dyDescent="0.2">
      <c r="A59" s="58"/>
      <c r="B59" s="58"/>
      <c r="C59" s="58"/>
      <c r="G59" s="110"/>
      <c r="H59" s="110"/>
      <c r="I59" s="110"/>
      <c r="J59" s="110"/>
      <c r="K59" s="110"/>
    </row>
    <row r="60" spans="1:11" ht="15" customHeight="1" x14ac:dyDescent="0.2">
      <c r="D60" s="72" t="str">
        <f>VLOOKUP("Identification_Area3",Hidden_Translations!$B$11:$J$129,Hidden_Translations!$C$8,FALSE)</f>
        <v>Area: Gazeous emissions</v>
      </c>
      <c r="E60" s="72"/>
      <c r="F60" s="73"/>
      <c r="G60" s="68"/>
      <c r="H60" s="67"/>
      <c r="I60" s="118"/>
      <c r="J60" s="118"/>
      <c r="K60" s="118"/>
    </row>
    <row r="61" spans="1:11" ht="30" customHeight="1" x14ac:dyDescent="0.2">
      <c r="A61" s="58">
        <f>IF(I61="X",SUM(A$36:A60)+1,0)</f>
        <v>0</v>
      </c>
      <c r="B61" s="58">
        <f>IF(J61="X",SUM(B$36:B60)+1,0)</f>
        <v>0</v>
      </c>
      <c r="C61" s="58">
        <f>IF(K61="X",SUM(C$36:C60)+1,0)</f>
        <v>0</v>
      </c>
      <c r="D61" s="107" t="str">
        <f>VLOOKUP("Identification_Area3_Text1",Hidden_Translations!$B$11:$K$1045,Hidden_Translations!$C$8,FALSE)</f>
        <v>Reduced dust emissions</v>
      </c>
      <c r="E61" s="107" t="s">
        <v>3</v>
      </c>
      <c r="F61" s="3" t="str">
        <f>VLOOKUP("Identification_Sample3_Text",Hidden_Translations!$B$11:$K$1045,Hidden_Translations!$C$8,FALSE)</f>
        <v>Quantity (total or as % of production)</v>
      </c>
      <c r="G61" s="60"/>
      <c r="H61" s="61"/>
      <c r="I61" s="62"/>
      <c r="J61" s="62"/>
      <c r="K61" s="62"/>
    </row>
    <row r="62" spans="1:11" ht="30" customHeight="1" x14ac:dyDescent="0.2">
      <c r="A62" s="58">
        <f>IF(I62="X",SUM(A$36:A61)+1,0)</f>
        <v>0</v>
      </c>
      <c r="B62" s="58">
        <f>IF(J62="X",SUM(B$36:B61)+1,0)</f>
        <v>0</v>
      </c>
      <c r="C62" s="58">
        <f>IF(K62="X",SUM(C$36:C61)+1,0)</f>
        <v>0</v>
      </c>
      <c r="D62" s="107" t="str">
        <f>VLOOKUP("Identification_Area3_Text2",Hidden_Translations!$B$11:$K$1045,Hidden_Translations!$C$8,FALSE)</f>
        <v>Reduced CO, CO2, NOx, SOx emissions</v>
      </c>
      <c r="E62" s="107" t="s">
        <v>3</v>
      </c>
      <c r="F62" s="3" t="str">
        <f>VLOOKUP("Identification_Sample3_Text",Hidden_Translations!$B$11:$K$1045,Hidden_Translations!$C$8,FALSE)</f>
        <v>Quantity (total or as % of production)</v>
      </c>
      <c r="G62" s="60"/>
      <c r="H62" s="61"/>
      <c r="I62" s="62"/>
      <c r="J62" s="62"/>
      <c r="K62" s="62"/>
    </row>
    <row r="63" spans="1:11" ht="30" customHeight="1" x14ac:dyDescent="0.2">
      <c r="A63" s="58">
        <f>IF(I63="X",SUM(A$36:A62)+1,0)</f>
        <v>0</v>
      </c>
      <c r="B63" s="58">
        <f>IF(J63="X",SUM(B$36:B62)+1,0)</f>
        <v>0</v>
      </c>
      <c r="C63" s="58">
        <f>IF(K63="X",SUM(C$36:C62)+1,0)</f>
        <v>0</v>
      </c>
      <c r="D63" s="107" t="str">
        <f>VLOOKUP("Identification_Area3_Text3",Hidden_Translations!$B$11:$K$1045,Hidden_Translations!$C$8,FALSE)</f>
        <v>Reduction of fluorinated (refrigerant) gases emissions</v>
      </c>
      <c r="E63" s="107" t="s">
        <v>3</v>
      </c>
      <c r="F63" s="3" t="str">
        <f>VLOOKUP("Identification_Sample3_Text",Hidden_Translations!$B$11:$K$1045,Hidden_Translations!$C$8,FALSE)</f>
        <v>Quantity (total or as % of production)</v>
      </c>
      <c r="G63" s="60"/>
      <c r="H63" s="61"/>
      <c r="I63" s="62"/>
      <c r="J63" s="62"/>
      <c r="K63" s="62"/>
    </row>
    <row r="64" spans="1:11" s="16" customFormat="1" ht="15" customHeight="1" x14ac:dyDescent="0.2">
      <c r="A64" s="58"/>
      <c r="B64" s="58"/>
      <c r="C64" s="58"/>
      <c r="G64" s="110"/>
      <c r="H64" s="110"/>
      <c r="I64" s="110"/>
      <c r="J64" s="110"/>
      <c r="K64" s="110"/>
    </row>
    <row r="65" spans="1:13" ht="15" customHeight="1" x14ac:dyDescent="0.2">
      <c r="D65" s="72" t="str">
        <f>VLOOKUP("Identification_Area4",Hidden_Translations!$B$11:$J$129,Hidden_Translations!$C$8,FALSE)</f>
        <v>Area: Maintenance</v>
      </c>
      <c r="E65" s="72"/>
      <c r="F65" s="73"/>
      <c r="G65" s="68"/>
      <c r="H65" s="67"/>
      <c r="I65" s="118"/>
      <c r="J65" s="118"/>
      <c r="K65" s="118"/>
    </row>
    <row r="66" spans="1:13" ht="30" customHeight="1" x14ac:dyDescent="0.2">
      <c r="A66" s="58">
        <f>IF(I66="X",SUM(A$36:A65)+1,0)</f>
        <v>0</v>
      </c>
      <c r="B66" s="58">
        <f>IF(J66="X",SUM(B$36:B65)+1,0)</f>
        <v>0</v>
      </c>
      <c r="C66" s="58">
        <f>IF(K66="X",SUM(C$36:C65)+1,0)</f>
        <v>0</v>
      </c>
      <c r="D66" s="107" t="str">
        <f>VLOOKUP("Identification_Area4_Text1",Hidden_Translations!$B$11:$K$1045,Hidden_Translations!$C$8,FALSE)</f>
        <v>Reduced maintenance cost</v>
      </c>
      <c r="E66" s="107" t="s">
        <v>4</v>
      </c>
      <c r="F66" s="3" t="str">
        <f>VLOOKUP("Identification_Sample4_Text1",Hidden_Translations!$B$11:$K$1045,Hidden_Translations!$C$8,FALSE)</f>
        <v>Wages (Euro/h) * reduced maintenance hours (h/y)</v>
      </c>
      <c r="G66" s="60"/>
      <c r="H66" s="61"/>
      <c r="I66" s="62"/>
      <c r="J66" s="62"/>
      <c r="K66" s="62"/>
    </row>
    <row r="67" spans="1:13" ht="45" customHeight="1" x14ac:dyDescent="0.2">
      <c r="A67" s="58">
        <f>IF(I67="X",SUM(A$36:A66)+1,0)</f>
        <v>0</v>
      </c>
      <c r="B67" s="58">
        <f>IF(J67="X",SUM(B$36:B66)+1,0)</f>
        <v>0</v>
      </c>
      <c r="C67" s="58">
        <f>IF(K67="X",SUM(C$36:C66)+1,0)</f>
        <v>0</v>
      </c>
      <c r="D67" s="107" t="str">
        <f>VLOOKUP("Identification_Area4_Text2",Hidden_Translations!$B$11:$K$1045,Hidden_Translations!$C$8,FALSE)</f>
        <v>Reduced machinery and equipment wear and tear</v>
      </c>
      <c r="E67" s="107" t="s">
        <v>4</v>
      </c>
      <c r="F67" s="3" t="str">
        <f>VLOOKUP("Identification_Sample4_Text2",Hidden_Translations!$B$11:$K$1045,Hidden_Translations!$C$8,FALSE)</f>
        <v>Longer lifetime of equipment so reduced levelised costs machinery</v>
      </c>
      <c r="G67" s="60"/>
      <c r="H67" s="61"/>
      <c r="I67" s="62"/>
      <c r="J67" s="62"/>
      <c r="K67" s="62"/>
    </row>
    <row r="68" spans="1:13" ht="30" customHeight="1" x14ac:dyDescent="0.2">
      <c r="A68" s="58">
        <f>IF(I68="X",SUM(A$36:A67)+1,0)</f>
        <v>0</v>
      </c>
      <c r="B68" s="58">
        <f>IF(J68="X",SUM(B$36:B67)+1,0)</f>
        <v>0</v>
      </c>
      <c r="C68" s="58">
        <f>IF(K68="X",SUM(C$36:C67)+1,0)</f>
        <v>0</v>
      </c>
      <c r="D68" s="107" t="str">
        <f>VLOOKUP("Identification_Area4_Text3",Hidden_Translations!$B$11:$K$1045,Hidden_Translations!$C$8,FALSE)</f>
        <v>Reduced engineering control cost</v>
      </c>
      <c r="E68" s="107" t="s">
        <v>4</v>
      </c>
      <c r="F68" s="3" t="str">
        <f>VLOOKUP("Identification_Sample4_Text3",Hidden_Translations!$B$11:$K$1045,Hidden_Translations!$C$8,FALSE)</f>
        <v>Technical control cost</v>
      </c>
      <c r="G68" s="60"/>
      <c r="H68" s="61"/>
      <c r="I68" s="62"/>
      <c r="J68" s="62"/>
      <c r="K68" s="62"/>
    </row>
    <row r="69" spans="1:13" s="16" customFormat="1" ht="15" customHeight="1" x14ac:dyDescent="0.2">
      <c r="A69" s="58"/>
      <c r="B69" s="58"/>
      <c r="C69" s="58"/>
      <c r="G69" s="110"/>
      <c r="H69" s="110"/>
      <c r="I69" s="110"/>
      <c r="J69" s="110"/>
      <c r="K69" s="110"/>
    </row>
    <row r="70" spans="1:13" ht="15" customHeight="1" x14ac:dyDescent="0.2">
      <c r="D70" s="72" t="str">
        <f>VLOOKUP("Identification_Area5",Hidden_Translations!$B$11:$J$129,Hidden_Translations!$C$8,FALSE)</f>
        <v>Area: Working environment</v>
      </c>
      <c r="E70" s="72"/>
      <c r="F70" s="73"/>
      <c r="G70" s="68"/>
      <c r="H70" s="67"/>
      <c r="I70" s="118"/>
      <c r="J70" s="118"/>
      <c r="K70" s="118"/>
    </row>
    <row r="71" spans="1:13" ht="30" customHeight="1" x14ac:dyDescent="0.2">
      <c r="A71" s="58">
        <f>IF(I71="X",SUM(A$36:A70)+1,0)</f>
        <v>0</v>
      </c>
      <c r="B71" s="58">
        <f>IF(J71="X",SUM(B$36:B70)+1,0)</f>
        <v>0</v>
      </c>
      <c r="C71" s="58">
        <f>IF(K71="X",SUM(C$36:C70)+1,0)</f>
        <v>0</v>
      </c>
      <c r="D71" s="107" t="str">
        <f>VLOOKUP("Identification_Area5_Text1",Hidden_Translations!$B$11:$K$1045,Hidden_Translations!$C$8,FALSE)</f>
        <v>Reduced noise</v>
      </c>
      <c r="E71" s="107" t="s">
        <v>5</v>
      </c>
      <c r="F71" s="3" t="str">
        <f>VLOOKUP("Identification_Sample5_Text1",Hidden_Translations!$B$11:$K$1045,Hidden_Translations!$C$8,FALSE)</f>
        <v>Decibels* time of exposure</v>
      </c>
      <c r="G71" s="60"/>
      <c r="H71" s="61"/>
      <c r="I71" s="62"/>
      <c r="J71" s="62"/>
      <c r="K71" s="62"/>
      <c r="M71" s="14"/>
    </row>
    <row r="72" spans="1:13" ht="30" customHeight="1" x14ac:dyDescent="0.2">
      <c r="A72" s="58">
        <f>IF(I72="X",SUM(A$36:A71)+1,0)</f>
        <v>0</v>
      </c>
      <c r="B72" s="58">
        <f>IF(J72="X",SUM(B$36:B71)+1,0)</f>
        <v>0</v>
      </c>
      <c r="C72" s="58">
        <f>IF(K72="X",SUM(C$36:C71)+1,0)</f>
        <v>0</v>
      </c>
      <c r="D72" s="107" t="str">
        <f>VLOOKUP("Identification_Area5_Text2",Hidden_Translations!$B$11:$K$1045,Hidden_Translations!$C$8,FALSE)</f>
        <v>Air quality improvement</v>
      </c>
      <c r="E72" s="107" t="s">
        <v>5</v>
      </c>
      <c r="F72" s="3" t="str">
        <f>VLOOKUP("Identification_Sample5_Text2",Hidden_Translations!$B$11:$K$1045,Hidden_Translations!$C$8,FALSE)</f>
        <v>Number of particles/m2</v>
      </c>
      <c r="G72" s="60"/>
      <c r="H72" s="61"/>
      <c r="I72" s="62"/>
      <c r="J72" s="62"/>
      <c r="K72" s="62"/>
    </row>
    <row r="73" spans="1:13" ht="30" customHeight="1" x14ac:dyDescent="0.2">
      <c r="A73" s="58">
        <f>IF(I73="X",SUM(A$36:A72)+1,0)</f>
        <v>0</v>
      </c>
      <c r="B73" s="58">
        <f>IF(J73="X",SUM(B$36:B72)+1,0)</f>
        <v>0</v>
      </c>
      <c r="C73" s="58">
        <f>IF(K73="X",SUM(C$36:C72)+1,0)</f>
        <v>0</v>
      </c>
      <c r="D73" s="107" t="str">
        <f>VLOOKUP("Identification_Area5_Text3",Hidden_Translations!$B$11:$K$1045,Hidden_Translations!$C$8,FALSE)</f>
        <v>Improved thermal comfort</v>
      </c>
      <c r="E73" s="107" t="s">
        <v>5</v>
      </c>
      <c r="F73" s="3" t="str">
        <f>VLOOKUP("Identification_Sample5_Text3",Hidden_Translations!$B$11:$K$1045,Hidden_Translations!$C$8,FALSE)</f>
        <v>Well-being</v>
      </c>
      <c r="G73" s="60"/>
      <c r="H73" s="61"/>
      <c r="I73" s="62"/>
      <c r="J73" s="62"/>
      <c r="K73" s="62"/>
    </row>
    <row r="74" spans="1:13" ht="30" customHeight="1" x14ac:dyDescent="0.2">
      <c r="A74" s="58">
        <f>IF(I74="X",SUM(A$36:A73)+1,0)</f>
        <v>0</v>
      </c>
      <c r="B74" s="58">
        <f>IF(J74="X",SUM(B$36:B73)+1,0)</f>
        <v>0</v>
      </c>
      <c r="C74" s="58">
        <f>IF(K74="X",SUM(C$36:C73)+1,0)</f>
        <v>0</v>
      </c>
      <c r="D74" s="107" t="str">
        <f>VLOOKUP("Identification_Area5_Text4",Hidden_Translations!$B$11:$K$1045,Hidden_Translations!$C$8,FALSE)</f>
        <v>Improved visual comfort</v>
      </c>
      <c r="E74" s="107" t="s">
        <v>5</v>
      </c>
      <c r="F74" s="3" t="str">
        <f>VLOOKUP("Identification_Sample5_Text4",Hidden_Translations!$B$11:$K$1045,Hidden_Translations!$C$8,FALSE)</f>
        <v>Well-being - productivity</v>
      </c>
      <c r="G74" s="60"/>
      <c r="H74" s="61"/>
      <c r="I74" s="62"/>
      <c r="J74" s="62"/>
      <c r="K74" s="62"/>
    </row>
    <row r="75" spans="1:13" ht="30" customHeight="1" x14ac:dyDescent="0.2">
      <c r="A75" s="58">
        <f>IF(I75="X",SUM(A$36:A74)+1,0)</f>
        <v>0</v>
      </c>
      <c r="B75" s="58">
        <f>IF(J75="X",SUM(B$36:B74)+1,0)</f>
        <v>0</v>
      </c>
      <c r="C75" s="58">
        <f>IF(K75="X",SUM(C$36:C74)+1,0)</f>
        <v>0</v>
      </c>
      <c r="D75" s="107" t="str">
        <f>VLOOKUP("Identification_Area5_Text5",Hidden_Translations!$B$11:$K$1045,Hidden_Translations!$C$8,FALSE)</f>
        <v xml:space="preserve">Improved workforce productivity </v>
      </c>
      <c r="E75" s="107" t="s">
        <v>5</v>
      </c>
      <c r="F75" s="3" t="str">
        <f>VLOOKUP("Identification_Sample5_Text5",Hidden_Translations!$B$11:$K$1045,Hidden_Translations!$C$8,FALSE)</f>
        <v>Depend on the tasks (repetitive or not)</v>
      </c>
      <c r="G75" s="60"/>
      <c r="H75" s="61"/>
      <c r="I75" s="62"/>
      <c r="J75" s="62"/>
      <c r="K75" s="62"/>
    </row>
    <row r="76" spans="1:13" ht="30" customHeight="1" x14ac:dyDescent="0.2">
      <c r="A76" s="58">
        <f>IF(I76="X",SUM(A$36:A75)+1,0)</f>
        <v>0</v>
      </c>
      <c r="B76" s="58">
        <f>IF(J76="X",SUM(B$36:B75)+1,0)</f>
        <v>0</v>
      </c>
      <c r="C76" s="58">
        <f>IF(K76="X",SUM(C$36:C75)+1,0)</f>
        <v>0</v>
      </c>
      <c r="D76" s="107" t="str">
        <f>VLOOKUP("Identification_Area5_Text6",Hidden_Translations!$B$11:$K$1045,Hidden_Translations!$C$8,FALSE)</f>
        <v>Reduced absenteism</v>
      </c>
      <c r="E76" s="107" t="s">
        <v>5</v>
      </c>
      <c r="F76" s="3" t="str">
        <f>VLOOKUP("Identification_Sample5_Text6",Hidden_Translations!$B$11:$K$1045,Hidden_Translations!$C$8,FALSE)</f>
        <v>Sickness absence days * cost per day</v>
      </c>
      <c r="G76" s="60"/>
      <c r="H76" s="61"/>
      <c r="I76" s="62"/>
      <c r="J76" s="62"/>
      <c r="K76" s="62"/>
    </row>
    <row r="77" spans="1:13" ht="30" customHeight="1" x14ac:dyDescent="0.2">
      <c r="A77" s="58">
        <f>IF(I77="X",SUM(A$36:A76)+1,0)</f>
        <v>0</v>
      </c>
      <c r="B77" s="58">
        <f>IF(J77="X",SUM(B$36:B76)+1,0)</f>
        <v>0</v>
      </c>
      <c r="C77" s="58">
        <f>IF(K77="X",SUM(C$36:C76)+1,0)</f>
        <v>0</v>
      </c>
      <c r="D77" s="107" t="str">
        <f>VLOOKUP("Identification_Area5_Text7",Hidden_Translations!$B$11:$K$1045,Hidden_Translations!$C$8,FALSE)</f>
        <v>Reduction of health costs</v>
      </c>
      <c r="E77" s="107" t="s">
        <v>5</v>
      </c>
      <c r="F77" s="3" t="str">
        <f>VLOOKUP("Identification_Sample5_Text7",Hidden_Translations!$B$11:$K$1045,Hidden_Translations!$C$8,FALSE)</f>
        <v>Insurance premiums reduction</v>
      </c>
      <c r="G77" s="60"/>
      <c r="H77" s="61"/>
      <c r="I77" s="62"/>
      <c r="J77" s="62"/>
      <c r="K77" s="62"/>
    </row>
    <row r="78" spans="1:13" ht="30" customHeight="1" x14ac:dyDescent="0.2">
      <c r="A78" s="58">
        <f>IF(I78="X",SUM(A$36:A77)+1,0)</f>
        <v>0</v>
      </c>
      <c r="B78" s="58">
        <f>IF(J78="X",SUM(B$36:B77)+1,0)</f>
        <v>0</v>
      </c>
      <c r="C78" s="58">
        <f>IF(K78="X",SUM(C$36:C77)+1,0)</f>
        <v>0</v>
      </c>
      <c r="D78" s="107" t="str">
        <f>VLOOKUP("Identification_Area5_Text8",Hidden_Translations!$B$11:$K$1045,Hidden_Translations!$C$8,FALSE)</f>
        <v>Reduced need for protective equipment</v>
      </c>
      <c r="E78" s="107" t="s">
        <v>5</v>
      </c>
      <c r="F78" s="3" t="str">
        <f>VLOOKUP("Identification_Sample5_Text8",Hidden_Translations!$B$11:$K$1045,Hidden_Translations!$C$8,FALSE)</f>
        <v>Cost of equipment</v>
      </c>
      <c r="G78" s="60"/>
      <c r="H78" s="61"/>
      <c r="I78" s="62"/>
      <c r="J78" s="62"/>
      <c r="K78" s="62"/>
    </row>
    <row r="79" spans="1:13" s="16" customFormat="1" ht="15" customHeight="1" x14ac:dyDescent="0.2">
      <c r="A79" s="58"/>
      <c r="B79" s="58"/>
      <c r="C79" s="58"/>
      <c r="G79" s="110"/>
      <c r="H79" s="110"/>
      <c r="I79" s="110"/>
      <c r="J79" s="110"/>
      <c r="K79" s="110"/>
    </row>
    <row r="80" spans="1:13" ht="15" customHeight="1" x14ac:dyDescent="0.2">
      <c r="D80" s="72" t="str">
        <f>VLOOKUP("Identification_Area6",Hidden_Translations!$B$11:$K$1045,Hidden_Translations!$C$8,FALSE)</f>
        <v>Area: Risk management</v>
      </c>
      <c r="E80" s="72"/>
      <c r="F80" s="73"/>
      <c r="G80" s="68"/>
      <c r="H80" s="67"/>
      <c r="I80" s="118"/>
      <c r="J80" s="118"/>
      <c r="K80" s="118"/>
    </row>
    <row r="81" spans="1:13" ht="30" customHeight="1" x14ac:dyDescent="0.2">
      <c r="A81" s="58">
        <f>IF(I81="X",SUM(A$36:A80)+1,0)</f>
        <v>0</v>
      </c>
      <c r="B81" s="58">
        <f>IF(J81="X",SUM(B$36:B80)+1,0)</f>
        <v>0</v>
      </c>
      <c r="C81" s="58">
        <f>IF(K81="X",SUM(C$36:C80)+1,0)</f>
        <v>0</v>
      </c>
      <c r="D81" s="107" t="str">
        <f>VLOOKUP("Identification_Area6_Text1",Hidden_Translations!$B$11:$K$1045,Hidden_Translations!$C$8,FALSE)</f>
        <v>Reduced risk of accident and occupational disease</v>
      </c>
      <c r="E81" s="107" t="s">
        <v>6</v>
      </c>
      <c r="F81" s="3" t="str">
        <f>VLOOKUP("Identification_Sample6_Text1",Hidden_Translations!$B$11:$K$1045,Hidden_Translations!$C$8,FALSE)</f>
        <v>Number of accidents / year</v>
      </c>
      <c r="G81" s="60"/>
      <c r="H81" s="61"/>
      <c r="I81" s="62"/>
      <c r="J81" s="62"/>
      <c r="K81" s="62"/>
    </row>
    <row r="82" spans="1:13" ht="30" customHeight="1" x14ac:dyDescent="0.2">
      <c r="A82" s="58">
        <f>IF(I82="X",SUM(A$36:A81)+1,0)</f>
        <v>0</v>
      </c>
      <c r="B82" s="58">
        <f>IF(J82="X",SUM(B$36:B81)+1,0)</f>
        <v>0</v>
      </c>
      <c r="C82" s="58">
        <f>IF(K82="X",SUM(C$36:C81)+1,0)</f>
        <v>0</v>
      </c>
      <c r="D82" s="107" t="str">
        <f>VLOOKUP("Identification_Area6_Text2",Hidden_Translations!$B$11:$K$1045,Hidden_Translations!$C$8,FALSE)</f>
        <v>Reduced CO2 and energy price risks</v>
      </c>
      <c r="E82" s="107" t="s">
        <v>6</v>
      </c>
      <c r="F82" s="3" t="str">
        <f>VLOOKUP("Identification_Sample6_Text2",Hidden_Translations!$B$11:$K$1045,Hidden_Translations!$C$8,FALSE)</f>
        <v>Price variability (based on ETS  or energy price forecasts)</v>
      </c>
      <c r="G82" s="60"/>
      <c r="H82" s="61"/>
      <c r="I82" s="62"/>
      <c r="J82" s="62"/>
      <c r="K82" s="62"/>
    </row>
    <row r="83" spans="1:13" ht="45" customHeight="1" x14ac:dyDescent="0.2">
      <c r="A83" s="58">
        <f>IF(I83="X",SUM(A$36:A82)+1,0)</f>
        <v>0</v>
      </c>
      <c r="B83" s="58">
        <f>IF(J83="X",SUM(B$36:B82)+1,0)</f>
        <v>0</v>
      </c>
      <c r="C83" s="58">
        <f>IF(K83="X",SUM(C$36:C82)+1,0)</f>
        <v>0</v>
      </c>
      <c r="D83" s="107" t="str">
        <f>VLOOKUP("Identification_Area6_Text3",Hidden_Translations!$B$11:$K$1045,Hidden_Translations!$C$8,FALSE)</f>
        <v>Reduced water price risk</v>
      </c>
      <c r="E83" s="107" t="s">
        <v>6</v>
      </c>
      <c r="F83" s="3" t="str">
        <f>VLOOKUP("Identification_Sample6_Text3",Hidden_Translations!$B$11:$K$1045,Hidden_Translations!$C$8,FALSE)</f>
        <v>Uncertainty in water price or years for which water price is contractually agreed with supplier</v>
      </c>
      <c r="G83" s="60"/>
      <c r="H83" s="61"/>
      <c r="I83" s="62"/>
      <c r="J83" s="62"/>
      <c r="K83" s="62"/>
    </row>
    <row r="84" spans="1:13" ht="30" customHeight="1" x14ac:dyDescent="0.2">
      <c r="A84" s="58">
        <f>IF(I84="X",SUM(A$36:A83)+1,0)</f>
        <v>0</v>
      </c>
      <c r="B84" s="58">
        <f>IF(J84="X",SUM(B$36:B83)+1,0)</f>
        <v>0</v>
      </c>
      <c r="C84" s="58">
        <f>IF(K84="X",SUM(C$36:C83)+1,0)</f>
        <v>0</v>
      </c>
      <c r="D84" s="107" t="str">
        <f>VLOOKUP("Identification_Area6_Text4",Hidden_Translations!$B$11:$K$1045,Hidden_Translations!$C$8,FALSE)</f>
        <v>Reduced legal risk</v>
      </c>
      <c r="E84" s="107" t="s">
        <v>6</v>
      </c>
      <c r="F84" s="3" t="str">
        <f>VLOOKUP("Identification_Sample6_Text4",Hidden_Translations!$B$11:$K$1045,Hidden_Translations!$C$8,FALSE)</f>
        <v>Number of lawsuits or legal disputes</v>
      </c>
      <c r="G84" s="60"/>
      <c r="H84" s="61"/>
      <c r="I84" s="62"/>
      <c r="J84" s="62"/>
      <c r="K84" s="62"/>
    </row>
    <row r="85" spans="1:13" ht="45" customHeight="1" x14ac:dyDescent="0.2">
      <c r="A85" s="58">
        <f>IF(I85="X",SUM(A$36:A84)+1,0)</f>
        <v>0</v>
      </c>
      <c r="B85" s="58">
        <f>IF(J85="X",SUM(B$36:B84)+1,0)</f>
        <v>0</v>
      </c>
      <c r="C85" s="58">
        <f>IF(K85="X",SUM(C$36:C84)+1,0)</f>
        <v>0</v>
      </c>
      <c r="D85" s="107" t="str">
        <f>VLOOKUP("Identification_Area6_Text5",Hidden_Translations!$B$11:$K$1045,Hidden_Translations!$C$8,FALSE)</f>
        <v>Reduced disruption of energy supply risk</v>
      </c>
      <c r="E85" s="107" t="s">
        <v>6</v>
      </c>
      <c r="F85" s="3" t="str">
        <f>VLOOKUP("Identification_Sample6_Text5",Hidden_Translations!$B$11:$K$1045,Hidden_Translations!$C$8,FALSE)</f>
        <v>Energy supply availability rate (e.g. electricity supply disruption rate)</v>
      </c>
      <c r="G85" s="60"/>
      <c r="H85" s="61"/>
      <c r="I85" s="62"/>
      <c r="J85" s="62"/>
      <c r="K85" s="62"/>
    </row>
    <row r="86" spans="1:13" ht="30" customHeight="1" x14ac:dyDescent="0.2">
      <c r="A86" s="58">
        <f>IF(I86="X",SUM(A$36:A85)+1,0)</f>
        <v>0</v>
      </c>
      <c r="B86" s="58">
        <f>IF(J86="X",SUM(B$36:B85)+1,0)</f>
        <v>0</v>
      </c>
      <c r="C86" s="58">
        <f>IF(K86="X",SUM(C$36:C85)+1,0)</f>
        <v>0</v>
      </c>
      <c r="D86" s="107" t="str">
        <f>VLOOKUP("Identification_Area6_Text6",Hidden_Translations!$B$11:$K$1045,Hidden_Translations!$C$8,FALSE)</f>
        <v>Reduced disruption of (other) supplies</v>
      </c>
      <c r="E86" s="107" t="s">
        <v>6</v>
      </c>
      <c r="F86" s="3" t="s">
        <v>7</v>
      </c>
      <c r="G86" s="60"/>
      <c r="H86" s="61"/>
      <c r="I86" s="62"/>
      <c r="J86" s="62"/>
      <c r="K86" s="62"/>
    </row>
    <row r="87" spans="1:13" s="16" customFormat="1" ht="15" customHeight="1" x14ac:dyDescent="0.2">
      <c r="A87" s="58"/>
      <c r="B87" s="58"/>
      <c r="C87" s="58"/>
      <c r="G87" s="110"/>
      <c r="H87" s="110"/>
      <c r="I87" s="110"/>
      <c r="J87" s="110"/>
      <c r="K87" s="110"/>
    </row>
    <row r="88" spans="1:13" ht="15" customHeight="1" x14ac:dyDescent="0.2">
      <c r="D88" s="72" t="str">
        <f>VLOOKUP("Identification_Area7",Hidden_Translations!$B$11:$K$1045,Hidden_Translations!$C$8,FALSE)</f>
        <v>Area: Others</v>
      </c>
      <c r="E88" s="72"/>
      <c r="F88" s="73"/>
      <c r="G88" s="68"/>
      <c r="H88" s="67"/>
      <c r="I88" s="118"/>
      <c r="J88" s="118"/>
      <c r="K88" s="118"/>
    </row>
    <row r="89" spans="1:13" ht="30" customHeight="1" x14ac:dyDescent="0.2">
      <c r="A89" s="58">
        <f>IF(I89="X",SUM(A$36:A88)+1,0)</f>
        <v>0</v>
      </c>
      <c r="B89" s="58">
        <f>IF(J89="X",SUM(B$36:B88)+1,0)</f>
        <v>0</v>
      </c>
      <c r="C89" s="58">
        <f>IF(K89="X",SUM(C$36:C88)+1,0)</f>
        <v>0</v>
      </c>
      <c r="D89" s="107" t="str">
        <f>VLOOKUP("Identification_Area7_Text1",Hidden_Translations!$B$11:$K$1045,Hidden_Translations!$C$8,FALSE)</f>
        <v>Increased installation safety</v>
      </c>
      <c r="E89" s="107" t="s">
        <v>8</v>
      </c>
      <c r="F89" s="3" t="str">
        <f>VLOOKUP("Identification_Sample7_Text1",Hidden_Translations!$B$11:$K$1045,Hidden_Translations!$C$8,FALSE)</f>
        <v>Number of incidents per year * average costs (or other impact) per incident</v>
      </c>
      <c r="G89" s="60"/>
      <c r="H89" s="61"/>
      <c r="I89" s="62"/>
      <c r="J89" s="62"/>
      <c r="K89" s="62"/>
    </row>
    <row r="90" spans="1:13" ht="30" customHeight="1" x14ac:dyDescent="0.2">
      <c r="A90" s="58">
        <f>IF(I90="X",SUM(A$36:A89)+1,0)</f>
        <v>0</v>
      </c>
      <c r="B90" s="58">
        <f>IF(J90="X",SUM(B$36:B89)+1,0)</f>
        <v>0</v>
      </c>
      <c r="C90" s="58">
        <f>IF(K90="X",SUM(C$36:C89)+1,0)</f>
        <v>0</v>
      </c>
      <c r="D90" s="107" t="str">
        <f>VLOOKUP("Identification_Area7_Text2",Hidden_Translations!$B$11:$K$1045,Hidden_Translations!$C$8,FALSE)</f>
        <v>Improved staff satisfaction and loyalty</v>
      </c>
      <c r="E90" s="107" t="s">
        <v>8</v>
      </c>
      <c r="F90" s="3" t="str">
        <f>VLOOKUP("Identification_Sample7_Text2",Hidden_Translations!$B$11:$K$1045,Hidden_Translations!$C$8,FALSE)</f>
        <v xml:space="preserve">Average number of years that employees work at the company </v>
      </c>
      <c r="G90" s="60"/>
      <c r="H90" s="61"/>
      <c r="I90" s="62"/>
      <c r="J90" s="62"/>
      <c r="K90" s="62"/>
    </row>
    <row r="91" spans="1:13" ht="30" customHeight="1" x14ac:dyDescent="0.2">
      <c r="A91" s="58">
        <f>IF(I91="X",SUM(A$36:A90)+1,0)</f>
        <v>0</v>
      </c>
      <c r="B91" s="58">
        <f>IF(J91="X",SUM(B$36:B90)+1,0)</f>
        <v>0</v>
      </c>
      <c r="C91" s="58">
        <f>IF(K91="X",SUM(C$36:C90)+1,0)</f>
        <v>0</v>
      </c>
      <c r="D91" s="107" t="str">
        <f>VLOOKUP("Identification_Area7_Text3",Hidden_Translations!$B$11:$K$1045,Hidden_Translations!$C$8,FALSE)</f>
        <v>Reduced staff turnover</v>
      </c>
      <c r="E91" s="107" t="s">
        <v>8</v>
      </c>
      <c r="F91" s="3" t="str">
        <f>VLOOKUP("Identification_Sample7_Text3",Hidden_Translations!$B$11:$K$1045,Hidden_Translations!$C$8,FALSE)</f>
        <v>Employee satisfaction</v>
      </c>
      <c r="G91" s="60"/>
      <c r="H91" s="61"/>
      <c r="I91" s="62"/>
      <c r="J91" s="62"/>
      <c r="K91" s="62"/>
    </row>
    <row r="92" spans="1:13" ht="30" customHeight="1" x14ac:dyDescent="0.2">
      <c r="A92" s="58">
        <f>IF(I92="X",SUM(A$36:A91)+1,0)</f>
        <v>0</v>
      </c>
      <c r="B92" s="58">
        <f>IF(J92="X",SUM(B$36:B91)+1,0)</f>
        <v>0</v>
      </c>
      <c r="C92" s="58">
        <f>IF(K92="X",SUM(C$36:C91)+1,0)</f>
        <v>0</v>
      </c>
      <c r="D92" s="107" t="str">
        <f>VLOOKUP("Identification_Area7_Text4",Hidden_Translations!$B$11:$K$1045,Hidden_Translations!$C$8,FALSE)</f>
        <v>Delayed or reduced capital expenditure</v>
      </c>
      <c r="E92" s="107" t="s">
        <v>8</v>
      </c>
      <c r="F92" s="3" t="str">
        <f>VLOOKUP("Identification_Sample7_Text4",Hidden_Translations!$B$11:$K$1045,Hidden_Translations!$C$8,FALSE)</f>
        <v>Cost of equipment avoided</v>
      </c>
      <c r="G92" s="60"/>
      <c r="H92" s="61"/>
      <c r="I92" s="62"/>
      <c r="J92" s="62"/>
      <c r="K92" s="62"/>
    </row>
    <row r="93" spans="1:13" ht="30" customHeight="1" x14ac:dyDescent="0.2">
      <c r="A93" s="58">
        <f>IF(I93="X",SUM(A$36:A92)+1,0)</f>
        <v>0</v>
      </c>
      <c r="B93" s="58">
        <f>IF(J93="X",SUM(B$36:B92)+1,0)</f>
        <v>0</v>
      </c>
      <c r="C93" s="58">
        <f>IF(K93="X",SUM(C$36:C92)+1,0)</f>
        <v>0</v>
      </c>
      <c r="D93" s="107" t="str">
        <f>VLOOKUP("Identification_Area7_Text5",Hidden_Translations!$B$11:$K$1045,Hidden_Translations!$C$8,FALSE)</f>
        <v xml:space="preserve">Reduced insurance cost </v>
      </c>
      <c r="E93" s="107" t="s">
        <v>8</v>
      </c>
      <c r="F93" s="3" t="str">
        <f>VLOOKUP("Identification_Sample7_Text5",Hidden_Translations!$B$11:$K$1045,Hidden_Translations!$C$8,FALSE)</f>
        <v xml:space="preserve">Insurance cost related to risk </v>
      </c>
      <c r="G93" s="60"/>
      <c r="H93" s="61"/>
      <c r="I93" s="62"/>
      <c r="J93" s="62"/>
      <c r="K93" s="62"/>
    </row>
    <row r="94" spans="1:13" ht="30" customHeight="1" x14ac:dyDescent="0.2">
      <c r="A94" s="58">
        <f>IF(I94="X",SUM(A$36:A93)+1,0)</f>
        <v>0</v>
      </c>
      <c r="B94" s="58">
        <f>IF(J94="X",SUM(B$36:B93)+1,0)</f>
        <v>0</v>
      </c>
      <c r="C94" s="58">
        <f>IF(K94="X",SUM(C$36:C93)+1,0)</f>
        <v>0</v>
      </c>
      <c r="D94" s="107" t="str">
        <f>VLOOKUP("Identification_Area7_Text6",Hidden_Translations!$B$11:$K$1045,Hidden_Translations!$C$8,FALSE)</f>
        <v>Additional space / Improved space utilisation</v>
      </c>
      <c r="E94" s="107" t="s">
        <v>8</v>
      </c>
      <c r="F94" s="3" t="str">
        <f>VLOOKUP("Identification_Sample7_Text6",Hidden_Translations!$B$11:$K$1045,Hidden_Translations!$C$8,FALSE)</f>
        <v>Number of m2 saved</v>
      </c>
      <c r="G94" s="60"/>
      <c r="H94" s="61"/>
      <c r="I94" s="62"/>
      <c r="J94" s="62"/>
      <c r="K94" s="62"/>
    </row>
    <row r="95" spans="1:13" ht="30" customHeight="1" x14ac:dyDescent="0.2">
      <c r="A95" s="58">
        <f>IF(I95="X",SUM(A$36:A94)+1,0)</f>
        <v>0</v>
      </c>
      <c r="B95" s="58">
        <f>IF(J95="X",SUM(B$36:B94)+1,0)</f>
        <v>0</v>
      </c>
      <c r="C95" s="58">
        <f>IF(K95="X",SUM(C$36:C94)+1,0)</f>
        <v>0</v>
      </c>
      <c r="D95" s="107" t="str">
        <f>VLOOKUP("Identification_Area7_Text7",Hidden_Translations!$B$11:$K$1045,Hidden_Translations!$C$8,FALSE)</f>
        <v>Simplification &amp; automation of customs procedures</v>
      </c>
      <c r="E95" s="107" t="s">
        <v>8</v>
      </c>
      <c r="F95" s="3" t="str">
        <f>VLOOKUP("Identification_Sample7_Text7",Hidden_Translations!$B$11:$K$1045,Hidden_Translations!$C$8,FALSE)</f>
        <v>Number of hours spend on procedures per year * wages/h</v>
      </c>
      <c r="G95" s="60"/>
      <c r="H95" s="61"/>
      <c r="I95" s="62"/>
      <c r="J95" s="62"/>
      <c r="K95" s="62"/>
    </row>
    <row r="96" spans="1:13" ht="30" customHeight="1" x14ac:dyDescent="0.2">
      <c r="A96" s="58">
        <f>IF(I96="X",SUM(A$36:A95)+1,0)</f>
        <v>0</v>
      </c>
      <c r="B96" s="58">
        <f>IF(J96="X",SUM(B$36:B95)+1,0)</f>
        <v>0</v>
      </c>
      <c r="C96" s="58">
        <f>IF(K96="X",SUM(C$36:C95)+1,0)</f>
        <v>0</v>
      </c>
      <c r="D96" s="107" t="str">
        <f>VLOOKUP("Identification_Area7_Text8",Hidden_Translations!$B$11:$K$1045,Hidden_Translations!$C$8,FALSE)</f>
        <v>Contribution to company's vision or strategy</v>
      </c>
      <c r="E96" s="107" t="s">
        <v>8</v>
      </c>
      <c r="F96" s="56" t="s">
        <v>7</v>
      </c>
      <c r="G96" s="60"/>
      <c r="H96" s="61"/>
      <c r="I96" s="62"/>
      <c r="J96" s="62"/>
      <c r="K96" s="62"/>
      <c r="M96" s="14"/>
    </row>
    <row r="97" spans="1:11" ht="30" customHeight="1" x14ac:dyDescent="0.2">
      <c r="A97" s="58">
        <f>IF(I97="X",SUM(A$36:A96)+1,0)</f>
        <v>0</v>
      </c>
      <c r="B97" s="58">
        <f>IF(J97="X",SUM(B$36:B96)+1,0)</f>
        <v>0</v>
      </c>
      <c r="C97" s="58">
        <f>IF(K97="X",SUM(C$36:C96)+1,0)</f>
        <v>0</v>
      </c>
      <c r="D97" s="107" t="str">
        <f>VLOOKUP("Identification_Area7_Text9",Hidden_Translations!$B$11:$K$1045,Hidden_Translations!$C$8,FALSE)</f>
        <v>Improved image or reputation</v>
      </c>
      <c r="E97" s="107" t="s">
        <v>8</v>
      </c>
      <c r="F97" s="3" t="s">
        <v>7</v>
      </c>
      <c r="G97" s="60"/>
      <c r="H97" s="61"/>
      <c r="I97" s="62"/>
      <c r="J97" s="62"/>
      <c r="K97" s="62"/>
    </row>
    <row r="98" spans="1:11" ht="30" customHeight="1" x14ac:dyDescent="0.2">
      <c r="A98" s="58">
        <f>IF(I98="X",SUM(A$36:A97)+1,0)</f>
        <v>0</v>
      </c>
      <c r="B98" s="58">
        <f>IF(J98="X",SUM(B$36:B97)+1,0)</f>
        <v>0</v>
      </c>
      <c r="C98" s="58">
        <f>IF(K98="X",SUM(C$36:C97)+1,0)</f>
        <v>0</v>
      </c>
      <c r="D98" s="107" t="str">
        <f>VLOOKUP("Identification_Area7_Text10",Hidden_Translations!$B$11:$K$1045,Hidden_Translations!$C$8,FALSE)</f>
        <v>Increased knowledge of production/auxiliary processes</v>
      </c>
      <c r="E98" s="107" t="s">
        <v>8</v>
      </c>
      <c r="F98" s="3" t="s">
        <v>7</v>
      </c>
      <c r="G98" s="60"/>
      <c r="H98" s="61"/>
      <c r="I98" s="62"/>
      <c r="J98" s="62"/>
      <c r="K98" s="62"/>
    </row>
    <row r="99" spans="1:11" ht="30" customHeight="1" x14ac:dyDescent="0.2">
      <c r="A99" s="58">
        <f>IF(I99="X",SUM(A$36:A98)+1,0)</f>
        <v>0</v>
      </c>
      <c r="B99" s="58">
        <f>IF(J99="X",SUM(B$36:B98)+1,0)</f>
        <v>0</v>
      </c>
      <c r="C99" s="58">
        <f>IF(K99="X",SUM(C$36:C98)+1,0)</f>
        <v>0</v>
      </c>
      <c r="D99" s="107" t="str">
        <f>VLOOKUP("Identification_Area7_Text11",Hidden_Translations!$B$11:$K$1045,Hidden_Translations!$C$8,FALSE)</f>
        <v>Increased assets value</v>
      </c>
      <c r="E99" s="107" t="s">
        <v>8</v>
      </c>
      <c r="F99" s="3" t="str">
        <f>VLOOKUP("Identification_Sample7_Text8",Hidden_Translations!$B$11:$K$1045,Hidden_Translations!$C$8,FALSE)</f>
        <v>Assets value</v>
      </c>
      <c r="G99" s="60"/>
      <c r="H99" s="61"/>
      <c r="I99" s="62"/>
      <c r="J99" s="62"/>
      <c r="K99" s="62"/>
    </row>
    <row r="100" spans="1:11" ht="30" customHeight="1" x14ac:dyDescent="0.2">
      <c r="A100" s="58">
        <f>IF(I100="X",SUM(A$36:A99)+1,0)</f>
        <v>0</v>
      </c>
      <c r="B100" s="58">
        <f>IF(J100="X",SUM(B$36:B99)+1,0)</f>
        <v>0</v>
      </c>
      <c r="C100" s="58">
        <f>IF(K100="X",SUM(C$36:C99)+1,0)</f>
        <v>0</v>
      </c>
      <c r="D100" s="107" t="str">
        <f>VLOOKUP("Identification_Area7_Text12",Hidden_Translations!$B$11:$K$1045,Hidden_Translations!$C$8,FALSE)</f>
        <v>Contribution to regulatory compliance/reporting</v>
      </c>
      <c r="E100" s="107" t="s">
        <v>8</v>
      </c>
      <c r="F100" s="3" t="s">
        <v>7</v>
      </c>
      <c r="G100" s="60"/>
      <c r="H100" s="61"/>
      <c r="I100" s="62"/>
      <c r="J100" s="62"/>
      <c r="K100" s="62"/>
    </row>
    <row r="101" spans="1:11" x14ac:dyDescent="0.2">
      <c r="D101" s="15"/>
      <c r="I101" s="32"/>
      <c r="J101" s="32"/>
      <c r="K101" s="32"/>
    </row>
    <row r="102" spans="1:11" ht="18" customHeight="1" x14ac:dyDescent="0.2">
      <c r="D102" s="15"/>
      <c r="I102" s="32"/>
      <c r="J102" s="32"/>
      <c r="K102" s="32"/>
    </row>
    <row r="103" spans="1:11" x14ac:dyDescent="0.2">
      <c r="I103" s="32"/>
      <c r="J103" s="32"/>
      <c r="K103" s="32"/>
    </row>
    <row r="104" spans="1:11" x14ac:dyDescent="0.2">
      <c r="I104" s="32"/>
      <c r="J104" s="32"/>
      <c r="K104" s="32"/>
    </row>
    <row r="105" spans="1:11" x14ac:dyDescent="0.2">
      <c r="I105" s="32"/>
      <c r="J105" s="32"/>
      <c r="K105" s="32"/>
    </row>
  </sheetData>
  <sheetProtection algorithmName="SHA-512" hashValue="MvZdLN5GOn8m9DG/hq+i2YMG4RfvD2GrpmFRrRcajWEiEKe1VtnF4PfTVpnR1r2mOaJco1CAwUnxkiMHTxZaPQ==" saltValue="JeNecPhPdOLRPGjkwBtubg==" spinCount="100000" sheet="1" formatColumns="0" selectLockedCells="1"/>
  <mergeCells count="83">
    <mergeCell ref="F30:K30"/>
    <mergeCell ref="F28:K28"/>
    <mergeCell ref="I88:K88"/>
    <mergeCell ref="G34:K34"/>
    <mergeCell ref="I35:K35"/>
    <mergeCell ref="G69:K69"/>
    <mergeCell ref="G79:K79"/>
    <mergeCell ref="G87:K87"/>
    <mergeCell ref="I50:K50"/>
    <mergeCell ref="I60:K60"/>
    <mergeCell ref="I70:K70"/>
    <mergeCell ref="I65:K65"/>
    <mergeCell ref="I80:K80"/>
    <mergeCell ref="E20:K20"/>
    <mergeCell ref="E17:K17"/>
    <mergeCell ref="D18:K18"/>
    <mergeCell ref="F12:K12"/>
    <mergeCell ref="F13:K13"/>
    <mergeCell ref="D12:E12"/>
    <mergeCell ref="E22:L22"/>
    <mergeCell ref="D73:E73"/>
    <mergeCell ref="D71:E71"/>
    <mergeCell ref="D72:E72"/>
    <mergeCell ref="D62:E62"/>
    <mergeCell ref="D63:E63"/>
    <mergeCell ref="D61:E61"/>
    <mergeCell ref="D57:E57"/>
    <mergeCell ref="D56:E56"/>
    <mergeCell ref="D58:E58"/>
    <mergeCell ref="D55:E55"/>
    <mergeCell ref="D53:E53"/>
    <mergeCell ref="D52:E52"/>
    <mergeCell ref="D54:E54"/>
    <mergeCell ref="D51:E51"/>
    <mergeCell ref="I32:K32"/>
    <mergeCell ref="D32:E32"/>
    <mergeCell ref="D46:E46"/>
    <mergeCell ref="D48:E48"/>
    <mergeCell ref="D47:E47"/>
    <mergeCell ref="D43:E43"/>
    <mergeCell ref="D44:E44"/>
    <mergeCell ref="D45:E45"/>
    <mergeCell ref="D37:E37"/>
    <mergeCell ref="D38:E38"/>
    <mergeCell ref="D39:E39"/>
    <mergeCell ref="D40:E40"/>
    <mergeCell ref="D41:E41"/>
    <mergeCell ref="D42:E42"/>
    <mergeCell ref="D36:E36"/>
    <mergeCell ref="D100:E100"/>
    <mergeCell ref="D95:E95"/>
    <mergeCell ref="D96:E96"/>
    <mergeCell ref="D97:E97"/>
    <mergeCell ref="D94:E94"/>
    <mergeCell ref="D89:E89"/>
    <mergeCell ref="D99:E99"/>
    <mergeCell ref="D93:E93"/>
    <mergeCell ref="D90:E90"/>
    <mergeCell ref="D91:E91"/>
    <mergeCell ref="D98:E98"/>
    <mergeCell ref="D92:E92"/>
    <mergeCell ref="D85:E85"/>
    <mergeCell ref="D86:E86"/>
    <mergeCell ref="D81:E81"/>
    <mergeCell ref="D82:E82"/>
    <mergeCell ref="D83:E83"/>
    <mergeCell ref="D84:E84"/>
    <mergeCell ref="D78:E78"/>
    <mergeCell ref="D74:E74"/>
    <mergeCell ref="D9:I9"/>
    <mergeCell ref="D6:K6"/>
    <mergeCell ref="D10:K10"/>
    <mergeCell ref="E24:K24"/>
    <mergeCell ref="F26:K26"/>
    <mergeCell ref="D66:E66"/>
    <mergeCell ref="D67:E67"/>
    <mergeCell ref="D68:E68"/>
    <mergeCell ref="G49:K49"/>
    <mergeCell ref="G59:K59"/>
    <mergeCell ref="G64:K64"/>
    <mergeCell ref="D75:E75"/>
    <mergeCell ref="D76:E76"/>
    <mergeCell ref="D77:E77"/>
  </mergeCells>
  <conditionalFormatting sqref="D12 D13:E13">
    <cfRule type="expression" dxfId="260" priority="787">
      <formula>MOD(ROW(),2)=0</formula>
    </cfRule>
  </conditionalFormatting>
  <conditionalFormatting sqref="D36:D48 F36:F48">
    <cfRule type="expression" dxfId="259" priority="1205">
      <formula>MOD(ROW(),2)=0</formula>
    </cfRule>
  </conditionalFormatting>
  <conditionalFormatting sqref="D51:D58 F51:F58">
    <cfRule type="expression" dxfId="258" priority="767">
      <formula>MOD(ROW(),2)=0</formula>
    </cfRule>
  </conditionalFormatting>
  <conditionalFormatting sqref="D61:D63 F61:F63">
    <cfRule type="expression" dxfId="257" priority="766">
      <formula>MOD(ROW(),2)=0</formula>
    </cfRule>
  </conditionalFormatting>
  <conditionalFormatting sqref="D66:D68 F66:F68">
    <cfRule type="expression" dxfId="256" priority="765">
      <formula>MOD(ROW(),2)=0</formula>
    </cfRule>
  </conditionalFormatting>
  <conditionalFormatting sqref="D71:D78 F71:F78">
    <cfRule type="expression" dxfId="255" priority="764">
      <formula>MOD(ROW(),2)=0</formula>
    </cfRule>
  </conditionalFormatting>
  <conditionalFormatting sqref="D81:D86">
    <cfRule type="expression" dxfId="254" priority="763">
      <formula>MOD(ROW(),2)=0</formula>
    </cfRule>
  </conditionalFormatting>
  <conditionalFormatting sqref="D89:D100">
    <cfRule type="expression" dxfId="253" priority="762">
      <formula>MOD(ROW(),2)=0</formula>
    </cfRule>
  </conditionalFormatting>
  <conditionalFormatting sqref="F81:F86">
    <cfRule type="expression" dxfId="252" priority="1">
      <formula>MOD(ROW(),2)=0</formula>
    </cfRule>
  </conditionalFormatting>
  <conditionalFormatting sqref="F89:F100">
    <cfRule type="expression" dxfId="251" priority="6">
      <formula>MOD(ROW(),2)=0</formula>
    </cfRule>
  </conditionalFormatting>
  <conditionalFormatting sqref="H36:H48">
    <cfRule type="expression" dxfId="250" priority="585">
      <formula>$G36="X"</formula>
    </cfRule>
  </conditionalFormatting>
  <conditionalFormatting sqref="H51:H58">
    <cfRule type="expression" dxfId="245" priority="465">
      <formula>$G51="X"</formula>
    </cfRule>
  </conditionalFormatting>
  <conditionalFormatting sqref="H61:H63">
    <cfRule type="expression" dxfId="242" priority="455">
      <formula>$G61="X"</formula>
    </cfRule>
  </conditionalFormatting>
  <conditionalFormatting sqref="H66:H68">
    <cfRule type="expression" dxfId="238" priority="445">
      <formula>$G66="X"</formula>
    </cfRule>
  </conditionalFormatting>
  <conditionalFormatting sqref="H71:H78">
    <cfRule type="expression" dxfId="234" priority="425">
      <formula>$G71="X"</formula>
    </cfRule>
  </conditionalFormatting>
  <conditionalFormatting sqref="H77:H78">
    <cfRule type="expression" dxfId="224" priority="732">
      <formula>$G77="X"</formula>
    </cfRule>
  </conditionalFormatting>
  <conditionalFormatting sqref="H81">
    <cfRule type="expression" dxfId="217" priority="415">
      <formula>$G81="X"</formula>
    </cfRule>
  </conditionalFormatting>
  <conditionalFormatting sqref="H81:H82">
    <cfRule type="expression" dxfId="216" priority="392">
      <formula>$G81="X"</formula>
    </cfRule>
  </conditionalFormatting>
  <conditionalFormatting sqref="H82:H83">
    <cfRule type="expression" dxfId="209" priority="369">
      <formula>$G82="X"</formula>
    </cfRule>
  </conditionalFormatting>
  <conditionalFormatting sqref="H83:H84">
    <cfRule type="expression" dxfId="202" priority="346">
      <formula>$G83="X"</formula>
    </cfRule>
  </conditionalFormatting>
  <conditionalFormatting sqref="H84:H85">
    <cfRule type="expression" dxfId="195" priority="323">
      <formula>$G84="X"</formula>
    </cfRule>
  </conditionalFormatting>
  <conditionalFormatting sqref="H85:H86">
    <cfRule type="expression" dxfId="187" priority="300">
      <formula>$G85="X"</formula>
    </cfRule>
  </conditionalFormatting>
  <conditionalFormatting sqref="H86">
    <cfRule type="expression" dxfId="180" priority="287">
      <formula>$G86="X"</formula>
    </cfRule>
  </conditionalFormatting>
  <conditionalFormatting sqref="H89">
    <cfRule type="expression" dxfId="177" priority="277">
      <formula>$G89="X"</formula>
    </cfRule>
  </conditionalFormatting>
  <conditionalFormatting sqref="H89:H90">
    <cfRule type="expression" dxfId="169" priority="254">
      <formula>$G89="X"</formula>
    </cfRule>
  </conditionalFormatting>
  <conditionalFormatting sqref="H90:H91">
    <cfRule type="expression" dxfId="163" priority="231">
      <formula>$G90="X"</formula>
    </cfRule>
  </conditionalFormatting>
  <conditionalFormatting sqref="H91:H92">
    <cfRule type="expression" dxfId="154" priority="208">
      <formula>$G91="X"</formula>
    </cfRule>
  </conditionalFormatting>
  <conditionalFormatting sqref="H92:H94">
    <cfRule type="expression" dxfId="146" priority="162">
      <formula>$G92="X"</formula>
    </cfRule>
  </conditionalFormatting>
  <conditionalFormatting sqref="H93">
    <cfRule type="expression" dxfId="142" priority="149">
      <formula>$G93="X"</formula>
    </cfRule>
  </conditionalFormatting>
  <conditionalFormatting sqref="H94">
    <cfRule type="expression" dxfId="132" priority="185">
      <formula>$G94="X"</formula>
    </cfRule>
  </conditionalFormatting>
  <conditionalFormatting sqref="H95">
    <cfRule type="expression" dxfId="126" priority="139">
      <formula>$G95="X"</formula>
    </cfRule>
  </conditionalFormatting>
  <conditionalFormatting sqref="H95:H96">
    <cfRule type="expression" dxfId="123" priority="116">
      <formula>$G95="X"</formula>
    </cfRule>
  </conditionalFormatting>
  <conditionalFormatting sqref="H96:H100">
    <cfRule type="expression" dxfId="114" priority="24">
      <formula>$G96="X"</formula>
    </cfRule>
  </conditionalFormatting>
  <conditionalFormatting sqref="H97:H100">
    <cfRule type="expression" dxfId="110" priority="11">
      <formula>$G97="X"</formula>
    </cfRule>
  </conditionalFormatting>
  <conditionalFormatting sqref="I77:I78">
    <cfRule type="expression" dxfId="106" priority="932">
      <formula>OR($G77="X")</formula>
    </cfRule>
    <cfRule type="expression" dxfId="105" priority="929">
      <formula>A$34&gt;31</formula>
    </cfRule>
  </conditionalFormatting>
  <conditionalFormatting sqref="I81:I86">
    <cfRule type="expression" dxfId="104" priority="302">
      <formula>OR($G81="X")</formula>
    </cfRule>
    <cfRule type="expression" dxfId="103" priority="301">
      <formula>A$34&gt;31</formula>
    </cfRule>
  </conditionalFormatting>
  <conditionalFormatting sqref="I89:I96">
    <cfRule type="expression" dxfId="102" priority="117">
      <formula>A$34&gt;31</formula>
    </cfRule>
    <cfRule type="expression" dxfId="101" priority="118">
      <formula>OR($G89="X")</formula>
    </cfRule>
  </conditionalFormatting>
  <conditionalFormatting sqref="I36:K48">
    <cfRule type="expression" dxfId="100" priority="586">
      <formula>A$34&gt;31</formula>
    </cfRule>
    <cfRule type="expression" dxfId="99" priority="587">
      <formula>OR($G36="X")</formula>
    </cfRule>
  </conditionalFormatting>
  <conditionalFormatting sqref="I51:K58">
    <cfRule type="expression" dxfId="98" priority="467">
      <formula>OR($G51="X")</formula>
    </cfRule>
    <cfRule type="expression" dxfId="97" priority="466">
      <formula>A$34&gt;31</formula>
    </cfRule>
  </conditionalFormatting>
  <conditionalFormatting sqref="I61:K63">
    <cfRule type="expression" dxfId="96" priority="457">
      <formula>OR($G61="X")</formula>
    </cfRule>
    <cfRule type="expression" dxfId="95" priority="456">
      <formula>A$34&gt;31</formula>
    </cfRule>
  </conditionalFormatting>
  <conditionalFormatting sqref="I66:K68">
    <cfRule type="expression" dxfId="94" priority="447">
      <formula>OR($G66="X")</formula>
    </cfRule>
    <cfRule type="expression" dxfId="93" priority="446">
      <formula>A$34&gt;31</formula>
    </cfRule>
  </conditionalFormatting>
  <conditionalFormatting sqref="I71:K78">
    <cfRule type="expression" dxfId="92" priority="427">
      <formula>OR($G71="X")</formula>
    </cfRule>
    <cfRule type="expression" dxfId="91" priority="426">
      <formula>A$34&gt;31</formula>
    </cfRule>
  </conditionalFormatting>
  <conditionalFormatting sqref="I81:K86">
    <cfRule type="expression" dxfId="90" priority="289">
      <formula>OR($G81="X")</formula>
    </cfRule>
    <cfRule type="expression" dxfId="89" priority="288">
      <formula>A$34&gt;31</formula>
    </cfRule>
  </conditionalFormatting>
  <conditionalFormatting sqref="I89:K105">
    <cfRule type="expression" dxfId="88" priority="25">
      <formula>A$34&gt;31</formula>
    </cfRule>
    <cfRule type="expression" dxfId="87" priority="26">
      <formula>OR($G89="X")</formula>
    </cfRule>
  </conditionalFormatting>
  <conditionalFormatting sqref="I97:K105">
    <cfRule type="expression" dxfId="86" priority="12">
      <formula>A$34&gt;31</formula>
    </cfRule>
    <cfRule type="expression" dxfId="85" priority="13">
      <formula>OR($G97="X")</formula>
    </cfRule>
  </conditionalFormatting>
  <conditionalFormatting sqref="J36:J48">
    <cfRule type="expression" dxfId="84" priority="589">
      <formula>OR($I36="X",$K36="X")</formula>
    </cfRule>
  </conditionalFormatting>
  <conditionalFormatting sqref="J51:J58">
    <cfRule type="expression" dxfId="83" priority="489">
      <formula>OR($I51="X",$K51="X")</formula>
    </cfRule>
  </conditionalFormatting>
  <conditionalFormatting sqref="J61:J63">
    <cfRule type="expression" dxfId="82" priority="459">
      <formula>OR($I61="X",$K61="X")</formula>
    </cfRule>
  </conditionalFormatting>
  <conditionalFormatting sqref="J66:J68">
    <cfRule type="expression" dxfId="81" priority="449">
      <formula>OR($I66="X",$K66="X")</formula>
    </cfRule>
  </conditionalFormatting>
  <conditionalFormatting sqref="J71:J78">
    <cfRule type="expression" dxfId="80" priority="429">
      <formula>OR($I71="X",$K71="X")</formula>
    </cfRule>
  </conditionalFormatting>
  <conditionalFormatting sqref="J81">
    <cfRule type="expression" dxfId="79" priority="419">
      <formula>OR($I81="X",$K81="X")</formula>
    </cfRule>
  </conditionalFormatting>
  <conditionalFormatting sqref="J81:J82">
    <cfRule type="expression" dxfId="78" priority="396">
      <formula>OR($I81="X",$K81="X")</formula>
    </cfRule>
  </conditionalFormatting>
  <conditionalFormatting sqref="J82:J83">
    <cfRule type="expression" dxfId="77" priority="373">
      <formula>OR($I82="X",$K82="X")</formula>
    </cfRule>
  </conditionalFormatting>
  <conditionalFormatting sqref="J83:J84">
    <cfRule type="expression" dxfId="76" priority="350">
      <formula>OR($I83="X",$K83="X")</formula>
    </cfRule>
  </conditionalFormatting>
  <conditionalFormatting sqref="J84:J85">
    <cfRule type="expression" dxfId="75" priority="327">
      <formula>OR($I84="X",$K84="X")</formula>
    </cfRule>
  </conditionalFormatting>
  <conditionalFormatting sqref="J85:J86">
    <cfRule type="expression" dxfId="74" priority="304">
      <formula>OR($I85="X",$K85="X")</formula>
    </cfRule>
  </conditionalFormatting>
  <conditionalFormatting sqref="J86">
    <cfRule type="expression" dxfId="73" priority="291">
      <formula>OR($I86="X",$K86="X")</formula>
    </cfRule>
  </conditionalFormatting>
  <conditionalFormatting sqref="J89">
    <cfRule type="expression" dxfId="72" priority="281">
      <formula>OR($I89="X",$K89="X")</formula>
    </cfRule>
  </conditionalFormatting>
  <conditionalFormatting sqref="J89:J90">
    <cfRule type="expression" dxfId="71" priority="258">
      <formula>OR($I89="X",$K89="X")</formula>
    </cfRule>
  </conditionalFormatting>
  <conditionalFormatting sqref="J90:J91">
    <cfRule type="expression" dxfId="70" priority="235">
      <formula>OR($I90="X",$K90="X")</formula>
    </cfRule>
  </conditionalFormatting>
  <conditionalFormatting sqref="J91:J92">
    <cfRule type="expression" dxfId="69" priority="212">
      <formula>OR($I91="X",$K91="X")</formula>
    </cfRule>
  </conditionalFormatting>
  <conditionalFormatting sqref="J92:J94">
    <cfRule type="expression" dxfId="68" priority="166">
      <formula>OR($I92="X",$K92="X")</formula>
    </cfRule>
  </conditionalFormatting>
  <conditionalFormatting sqref="J93">
    <cfRule type="expression" dxfId="67" priority="153">
      <formula>OR($I93="X",$K93="X")</formula>
    </cfRule>
  </conditionalFormatting>
  <conditionalFormatting sqref="J94">
    <cfRule type="expression" dxfId="66" priority="189">
      <formula>OR($I94="X",$K94="X")</formula>
    </cfRule>
  </conditionalFormatting>
  <conditionalFormatting sqref="J95">
    <cfRule type="expression" dxfId="65" priority="143">
      <formula>OR($I95="X",$K95="X")</formula>
    </cfRule>
  </conditionalFormatting>
  <conditionalFormatting sqref="J95:J96">
    <cfRule type="expression" dxfId="64" priority="120">
      <formula>OR($I95="X",$K95="X")</formula>
    </cfRule>
  </conditionalFormatting>
  <conditionalFormatting sqref="J96:J105">
    <cfRule type="expression" dxfId="63" priority="28">
      <formula>OR($I96="X",$K96="X")</formula>
    </cfRule>
  </conditionalFormatting>
  <conditionalFormatting sqref="J97:J105">
    <cfRule type="expression" dxfId="62" priority="15">
      <formula>OR($I97="X",$K97="X")</formula>
    </cfRule>
  </conditionalFormatting>
  <conditionalFormatting sqref="J37:K48">
    <cfRule type="expression" dxfId="61" priority="588">
      <formula>#REF!&gt;31</formula>
    </cfRule>
  </conditionalFormatting>
  <conditionalFormatting sqref="J51:K58">
    <cfRule type="expression" dxfId="60" priority="470">
      <formula>#REF!&gt;31</formula>
    </cfRule>
  </conditionalFormatting>
  <conditionalFormatting sqref="J61:K63">
    <cfRule type="expression" dxfId="59" priority="458">
      <formula>#REF!&gt;31</formula>
    </cfRule>
  </conditionalFormatting>
  <conditionalFormatting sqref="J66:K68">
    <cfRule type="expression" dxfId="58" priority="448">
      <formula>#REF!&gt;31</formula>
    </cfRule>
  </conditionalFormatting>
  <conditionalFormatting sqref="J71:K78">
    <cfRule type="expression" dxfId="57" priority="428">
      <formula>#REF!&gt;31</formula>
    </cfRule>
  </conditionalFormatting>
  <conditionalFormatting sqref="J81:K81">
    <cfRule type="expression" dxfId="56" priority="418">
      <formula>#REF!&gt;31</formula>
    </cfRule>
  </conditionalFormatting>
  <conditionalFormatting sqref="J81:K82">
    <cfRule type="expression" dxfId="55" priority="395">
      <formula>#REF!&gt;31</formula>
    </cfRule>
  </conditionalFormatting>
  <conditionalFormatting sqref="J82:K83">
    <cfRule type="expression" dxfId="54" priority="372">
      <formula>#REF!&gt;31</formula>
    </cfRule>
  </conditionalFormatting>
  <conditionalFormatting sqref="J83:K84">
    <cfRule type="expression" dxfId="53" priority="349">
      <formula>#REF!&gt;31</formula>
    </cfRule>
  </conditionalFormatting>
  <conditionalFormatting sqref="J84:K85">
    <cfRule type="expression" dxfId="52" priority="326">
      <formula>#REF!&gt;31</formula>
    </cfRule>
  </conditionalFormatting>
  <conditionalFormatting sqref="J85:K86">
    <cfRule type="expression" dxfId="51" priority="303">
      <formula>#REF!&gt;31</formula>
    </cfRule>
  </conditionalFormatting>
  <conditionalFormatting sqref="J86:K86">
    <cfRule type="expression" dxfId="50" priority="290">
      <formula>#REF!&gt;31</formula>
    </cfRule>
  </conditionalFormatting>
  <conditionalFormatting sqref="J89:K89">
    <cfRule type="expression" dxfId="49" priority="280">
      <formula>#REF!&gt;31</formula>
    </cfRule>
  </conditionalFormatting>
  <conditionalFormatting sqref="J89:K90">
    <cfRule type="expression" dxfId="48" priority="257">
      <formula>#REF!&gt;31</formula>
    </cfRule>
  </conditionalFormatting>
  <conditionalFormatting sqref="J90:K91">
    <cfRule type="expression" dxfId="47" priority="234">
      <formula>#REF!&gt;31</formula>
    </cfRule>
  </conditionalFormatting>
  <conditionalFormatting sqref="J91:K92">
    <cfRule type="expression" dxfId="46" priority="211">
      <formula>#REF!&gt;31</formula>
    </cfRule>
  </conditionalFormatting>
  <conditionalFormatting sqref="J92:K94">
    <cfRule type="expression" dxfId="45" priority="165">
      <formula>#REF!&gt;31</formula>
    </cfRule>
  </conditionalFormatting>
  <conditionalFormatting sqref="J93:K93">
    <cfRule type="expression" dxfId="44" priority="152">
      <formula>#REF!&gt;31</formula>
    </cfRule>
  </conditionalFormatting>
  <conditionalFormatting sqref="J94:K94">
    <cfRule type="expression" dxfId="43" priority="188">
      <formula>#REF!&gt;31</formula>
    </cfRule>
  </conditionalFormatting>
  <conditionalFormatting sqref="J95:K95">
    <cfRule type="expression" dxfId="42" priority="142">
      <formula>#REF!&gt;31</formula>
    </cfRule>
  </conditionalFormatting>
  <conditionalFormatting sqref="J95:K96">
    <cfRule type="expression" dxfId="41" priority="119">
      <formula>#REF!&gt;31</formula>
    </cfRule>
  </conditionalFormatting>
  <conditionalFormatting sqref="J96:K105">
    <cfRule type="expression" dxfId="40" priority="27">
      <formula>#REF!&gt;31</formula>
    </cfRule>
  </conditionalFormatting>
  <conditionalFormatting sqref="J97:K105">
    <cfRule type="expression" dxfId="39" priority="14">
      <formula>#REF!&gt;31</formula>
    </cfRule>
  </conditionalFormatting>
  <conditionalFormatting sqref="K36:K48">
    <cfRule type="expression" dxfId="38" priority="591">
      <formula>OR($I36="X",$J36="X")</formula>
    </cfRule>
  </conditionalFormatting>
  <conditionalFormatting sqref="K51:K58">
    <cfRule type="expression" dxfId="37" priority="471">
      <formula>OR($I51="X",$J51="X")</formula>
    </cfRule>
  </conditionalFormatting>
  <conditionalFormatting sqref="K61:K63">
    <cfRule type="expression" dxfId="36" priority="461">
      <formula>OR($I61="X",$J61="X")</formula>
    </cfRule>
  </conditionalFormatting>
  <conditionalFormatting sqref="K66:K68">
    <cfRule type="expression" dxfId="35" priority="451">
      <formula>OR($I66="X",$J66="X")</formula>
    </cfRule>
  </conditionalFormatting>
  <conditionalFormatting sqref="K71:K78">
    <cfRule type="expression" dxfId="34" priority="431">
      <formula>OR($I71="X",$J71="X")</formula>
    </cfRule>
  </conditionalFormatting>
  <conditionalFormatting sqref="K81">
    <cfRule type="expression" dxfId="33" priority="421">
      <formula>OR($I81="X",$J81="X")</formula>
    </cfRule>
  </conditionalFormatting>
  <conditionalFormatting sqref="K81:K82">
    <cfRule type="expression" dxfId="32" priority="398">
      <formula>OR($I81="X",$J81="X")</formula>
    </cfRule>
  </conditionalFormatting>
  <conditionalFormatting sqref="K82:K83">
    <cfRule type="expression" dxfId="31" priority="375">
      <formula>OR($I82="X",$J82="X")</formula>
    </cfRule>
  </conditionalFormatting>
  <conditionalFormatting sqref="K83:K84">
    <cfRule type="expression" dxfId="30" priority="352">
      <formula>OR($I83="X",$J83="X")</formula>
    </cfRule>
  </conditionalFormatting>
  <conditionalFormatting sqref="K84:K85">
    <cfRule type="expression" dxfId="29" priority="329">
      <formula>OR($I84="X",$J84="X")</formula>
    </cfRule>
  </conditionalFormatting>
  <conditionalFormatting sqref="K85:K86">
    <cfRule type="expression" dxfId="28" priority="306">
      <formula>OR($I85="X",$J85="X")</formula>
    </cfRule>
  </conditionalFormatting>
  <conditionalFormatting sqref="K86">
    <cfRule type="expression" dxfId="27" priority="293">
      <formula>OR($I86="X",$J86="X")</formula>
    </cfRule>
  </conditionalFormatting>
  <conditionalFormatting sqref="K89">
    <cfRule type="expression" dxfId="26" priority="283">
      <formula>OR($I89="X",$J89="X")</formula>
    </cfRule>
  </conditionalFormatting>
  <conditionalFormatting sqref="K89:K90">
    <cfRule type="expression" dxfId="25" priority="260">
      <formula>OR($I89="X",$J89="X")</formula>
    </cfRule>
  </conditionalFormatting>
  <conditionalFormatting sqref="K90:K91">
    <cfRule type="expression" dxfId="24" priority="237">
      <formula>OR($I90="X",$J90="X")</formula>
    </cfRule>
  </conditionalFormatting>
  <conditionalFormatting sqref="K91:K92">
    <cfRule type="expression" dxfId="23" priority="214">
      <formula>OR($I91="X",$J91="X")</formula>
    </cfRule>
  </conditionalFormatting>
  <conditionalFormatting sqref="K92:K94">
    <cfRule type="expression" dxfId="22" priority="168">
      <formula>OR($I92="X",$J92="X")</formula>
    </cfRule>
  </conditionalFormatting>
  <conditionalFormatting sqref="K93">
    <cfRule type="expression" dxfId="21" priority="155">
      <formula>OR($I93="X",$J93="X")</formula>
    </cfRule>
  </conditionalFormatting>
  <conditionalFormatting sqref="K94">
    <cfRule type="expression" dxfId="20" priority="191">
      <formula>OR($I94="X",$J94="X")</formula>
    </cfRule>
  </conditionalFormatting>
  <conditionalFormatting sqref="K95">
    <cfRule type="expression" dxfId="19" priority="145">
      <formula>OR($I95="X",$J95="X")</formula>
    </cfRule>
  </conditionalFormatting>
  <conditionalFormatting sqref="K95:K96">
    <cfRule type="expression" dxfId="18" priority="122">
      <formula>OR($I95="X",$J95="X")</formula>
    </cfRule>
  </conditionalFormatting>
  <conditionalFormatting sqref="K96:K105">
    <cfRule type="expression" dxfId="17" priority="30">
      <formula>OR($I96="X",$J96="X")</formula>
    </cfRule>
  </conditionalFormatting>
  <conditionalFormatting sqref="K97:K105">
    <cfRule type="expression" dxfId="16" priority="17">
      <formula>OR($I97="X",$J97="X")</formula>
    </cfRule>
  </conditionalFormatting>
  <pageMargins left="0.7" right="0.7" top="0.78740157499999996" bottom="0.78740157499999996" header="0.3" footer="0.3"/>
  <pageSetup paperSize="9" scale="62" fitToHeight="0" orientation="landscape" r:id="rId1"/>
  <rowBreaks count="3" manualBreakCount="3">
    <brk id="31" max="10" man="1"/>
    <brk id="59" max="10" man="1"/>
    <brk id="79" max="10" man="1"/>
  </rowBreaks>
  <drawing r:id="rId2"/>
  <extLst>
    <ext xmlns:x14="http://schemas.microsoft.com/office/spreadsheetml/2009/9/main" uri="{78C0D931-6437-407d-A8EE-F0AAD7539E65}">
      <x14:conditionalFormattings>
        <x14:conditionalFormatting xmlns:xm="http://schemas.microsoft.com/office/excel/2006/main">
          <x14:cfRule type="containsText" priority="582" operator="containsText" id="{4A246F89-12FC-4D41-96C5-873D4195727E}">
            <xm:f>NOT(ISERROR(SEARCH(Hidden_Lists!$C$29,H36)))</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583" operator="containsText" id="{18E01F56-AAA0-482C-A034-1B95E26351C1}">
            <xm:f>NOT(ISERROR(SEARCH(Hidden_Lists!$C$28,H36)))</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584" operator="containsText" id="{31FB2F83-EAF7-4992-9DDF-2BCF95D207E6}">
            <xm:f>NOT(ISERROR(SEARCH(Hidden_Lists!$C$27,H36)))</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m:sqref>H36:H48</xm:sqref>
        </x14:conditionalFormatting>
        <x14:conditionalFormatting xmlns:xm="http://schemas.microsoft.com/office/excel/2006/main">
          <x14:cfRule type="containsText" priority="462" operator="containsText" id="{56813D40-A1BC-435B-9939-7DB4456122AB}">
            <xm:f>NOT(ISERROR(SEARCH(Hidden_Lists!$C$29,H51)))</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464" operator="containsText" id="{7128FB53-547C-4103-A360-EABF9F87EAFF}">
            <xm:f>NOT(ISERROR(SEARCH(Hidden_Lists!$C$27,H51)))</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463" operator="containsText" id="{ED70C8AC-9B12-4A7F-9458-BF938760B6D0}">
            <xm:f>NOT(ISERROR(SEARCH(Hidden_Lists!$C$28,H51)))</xm:f>
            <xm:f>Hidden_Lists!$C$28</xm:f>
            <x14:dxf>
              <fill>
                <patternFill>
                  <bgColor theme="8" tint="0.59996337778862885"/>
                </patternFill>
              </fill>
              <border>
                <left style="thin">
                  <color auto="1"/>
                </left>
                <right style="thin">
                  <color auto="1"/>
                </right>
                <top style="thin">
                  <color auto="1"/>
                </top>
                <bottom style="thin">
                  <color auto="1"/>
                </bottom>
              </border>
            </x14:dxf>
          </x14:cfRule>
          <xm:sqref>H51:H58</xm:sqref>
        </x14:conditionalFormatting>
        <x14:conditionalFormatting xmlns:xm="http://schemas.microsoft.com/office/excel/2006/main">
          <x14:cfRule type="containsText" priority="454" operator="containsText" id="{FCCC8D89-99EB-46C6-9E0A-1677ED6CA5AE}">
            <xm:f>NOT(ISERROR(SEARCH(Hidden_Lists!$C$27,H61)))</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453" operator="containsText" id="{D98836B9-0FC6-4F3E-893A-F51E62E62BFE}">
            <xm:f>NOT(ISERROR(SEARCH(Hidden_Lists!$C$28,H61)))</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452" operator="containsText" id="{43689AD5-AE38-41EC-A64E-2A00F89AF4B7}">
            <xm:f>NOT(ISERROR(SEARCH(Hidden_Lists!$C$29,H61)))</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H61:H63</xm:sqref>
        </x14:conditionalFormatting>
        <x14:conditionalFormatting xmlns:xm="http://schemas.microsoft.com/office/excel/2006/main">
          <x14:cfRule type="containsText" priority="444" operator="containsText" id="{441B09C6-F1DE-43CF-BCF2-BA51489795D3}">
            <xm:f>NOT(ISERROR(SEARCH(Hidden_Lists!$C$27,H66)))</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443" operator="containsText" id="{EB642E56-E718-4983-8490-0BD2763F3777}">
            <xm:f>NOT(ISERROR(SEARCH(Hidden_Lists!$C$28,H66)))</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442" operator="containsText" id="{5FC77794-4A4A-4A97-9BCD-B0AFE6F32C06}">
            <xm:f>NOT(ISERROR(SEARCH(Hidden_Lists!$C$29,H66)))</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H66:H68</xm:sqref>
        </x14:conditionalFormatting>
        <x14:conditionalFormatting xmlns:xm="http://schemas.microsoft.com/office/excel/2006/main">
          <x14:cfRule type="containsText" priority="424" operator="containsText" id="{FBD41B71-799A-4425-B7F3-C1FE2FF1B125}">
            <xm:f>NOT(ISERROR(SEARCH(Hidden_Lists!$C$27,H71)))</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423" operator="containsText" id="{CD70DD23-45EC-4709-85CD-3D8E68B8989E}">
            <xm:f>NOT(ISERROR(SEARCH(Hidden_Lists!$C$28,H71)))</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422" operator="containsText" id="{DBF94F93-9F14-445C-942E-0FCAF20E5DFC}">
            <xm:f>NOT(ISERROR(SEARCH(Hidden_Lists!$C$29,H71)))</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H71:H78</xm:sqref>
        </x14:conditionalFormatting>
        <x14:conditionalFormatting xmlns:xm="http://schemas.microsoft.com/office/excel/2006/main">
          <x14:cfRule type="containsText" priority="726" operator="containsText" id="{DD7D44CB-3379-4F5F-83E9-9C9D30917CE8}">
            <xm:f>NOT(ISERROR(SEARCH(Hidden_Lists!$C$29,H77)))</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727" operator="containsText" id="{940212B0-9FD7-443B-873C-7C24841177F8}">
            <xm:f>NOT(ISERROR(SEARCH("high",H77)))</xm:f>
            <xm:f>"high"</xm:f>
            <x14:dxf>
              <fill>
                <patternFill>
                  <bgColor theme="9"/>
                </patternFill>
              </fill>
            </x14:dxf>
          </x14:cfRule>
          <x14:cfRule type="containsText" priority="728" operator="containsText" id="{E53CA0DC-C73C-495C-B920-8741FFE7101F}">
            <xm:f>NOT(ISERROR(SEARCH( "average",H77)))</xm:f>
            <xm:f xml:space="preserve"> "average"</xm:f>
            <x14:dxf>
              <fill>
                <patternFill>
                  <bgColor theme="7" tint="0.59996337778862885"/>
                </patternFill>
              </fill>
            </x14:dxf>
          </x14:cfRule>
          <x14:cfRule type="containsText" priority="729" operator="containsText" id="{E7F14800-BFD0-494A-BD97-162D7D149CCC}">
            <xm:f>NOT(ISERROR(SEARCH( "weak",H77)))</xm:f>
            <xm:f xml:space="preserve"> "weak"</xm:f>
            <x14:dxf>
              <fill>
                <patternFill>
                  <fgColor auto="1"/>
                  <bgColor rgb="FFFF7D7D"/>
                </patternFill>
              </fill>
            </x14:dxf>
          </x14:cfRule>
          <x14:cfRule type="containsText" priority="730" operator="containsText" id="{B427AD94-A9BC-4820-88DE-4FD21C2EA9B5}">
            <xm:f>NOT(ISERROR(SEARCH(Hidden_Lists!$C$28,H77)))</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731" operator="containsText" id="{748FFA97-0678-4C1D-B3C6-780799F1864F}">
            <xm:f>NOT(ISERROR(SEARCH(Hidden_Lists!$C$27,H77)))</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m:sqref>H77:H78</xm:sqref>
        </x14:conditionalFormatting>
        <x14:conditionalFormatting xmlns:xm="http://schemas.microsoft.com/office/excel/2006/main">
          <x14:cfRule type="containsText" priority="411" operator="containsText" id="{5747F28C-55D9-44B8-8C26-592AA367DCF2}">
            <xm:f>NOT(ISERROR(SEARCH( "average",H81)))</xm:f>
            <xm:f xml:space="preserve"> "average"</xm:f>
            <x14:dxf>
              <fill>
                <patternFill>
                  <bgColor theme="7" tint="0.59996337778862885"/>
                </patternFill>
              </fill>
            </x14:dxf>
          </x14:cfRule>
          <x14:cfRule type="containsText" priority="413" operator="containsText" id="{9B240A40-4B16-46A6-BEA5-8DB076821D72}">
            <xm:f>NOT(ISERROR(SEARCH(Hidden_Lists!$C$28,H81)))</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412" operator="containsText" id="{49EE15D9-8302-40D6-8079-6943E31F047B}">
            <xm:f>NOT(ISERROR(SEARCH( "weak",H81)))</xm:f>
            <xm:f xml:space="preserve"> "weak"</xm:f>
            <x14:dxf>
              <fill>
                <patternFill>
                  <fgColor auto="1"/>
                  <bgColor rgb="FFFF7D7D"/>
                </patternFill>
              </fill>
            </x14:dxf>
          </x14:cfRule>
          <x14:cfRule type="containsText" priority="414" operator="containsText" id="{57CE7F5D-AB63-4182-A0E8-C1E1437B4161}">
            <xm:f>NOT(ISERROR(SEARCH(Hidden_Lists!$C$27,H81)))</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410" operator="containsText" id="{2348A280-0846-47BE-BCEF-27951CEC4245}">
            <xm:f>NOT(ISERROR(SEARCH("high",H81)))</xm:f>
            <xm:f>"high"</xm:f>
            <x14:dxf>
              <fill>
                <patternFill>
                  <bgColor theme="9"/>
                </patternFill>
              </fill>
            </x14:dxf>
          </x14:cfRule>
          <x14:cfRule type="containsText" priority="409" operator="containsText" id="{9189CDA3-F8EA-4AAE-BFCF-248F1F2DE98F}">
            <xm:f>NOT(ISERROR(SEARCH(Hidden_Lists!$C$29,H81)))</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H81</xm:sqref>
        </x14:conditionalFormatting>
        <x14:conditionalFormatting xmlns:xm="http://schemas.microsoft.com/office/excel/2006/main">
          <x14:cfRule type="containsText" priority="390" operator="containsText" id="{6C26EE39-8499-4E02-B4A9-7ACC57C2289D}">
            <xm:f>NOT(ISERROR(SEARCH(Hidden_Lists!$C$28,H81)))</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386" operator="containsText" id="{E1C3F6C3-175A-4360-AD65-8050084DBB3F}">
            <xm:f>NOT(ISERROR(SEARCH(Hidden_Lists!$C$29,H81)))</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391" operator="containsText" id="{59E7CC9E-9655-4708-8DF5-BA343B2611BD}">
            <xm:f>NOT(ISERROR(SEARCH(Hidden_Lists!$C$27,H81)))</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m:sqref>H81:H82</xm:sqref>
        </x14:conditionalFormatting>
        <x14:conditionalFormatting xmlns:xm="http://schemas.microsoft.com/office/excel/2006/main">
          <x14:cfRule type="containsText" priority="389" operator="containsText" id="{E4D42545-C6E6-402F-9317-4037F0150D98}">
            <xm:f>NOT(ISERROR(SEARCH( "weak",H82)))</xm:f>
            <xm:f xml:space="preserve"> "weak"</xm:f>
            <x14:dxf>
              <fill>
                <patternFill>
                  <fgColor auto="1"/>
                  <bgColor rgb="FFFF7D7D"/>
                </patternFill>
              </fill>
            </x14:dxf>
          </x14:cfRule>
          <x14:cfRule type="containsText" priority="388" operator="containsText" id="{C7B6CFC2-5558-4AFE-AC9F-A507B29AA81A}">
            <xm:f>NOT(ISERROR(SEARCH( "average",H82)))</xm:f>
            <xm:f xml:space="preserve"> "average"</xm:f>
            <x14:dxf>
              <fill>
                <patternFill>
                  <bgColor theme="7" tint="0.59996337778862885"/>
                </patternFill>
              </fill>
            </x14:dxf>
          </x14:cfRule>
          <x14:cfRule type="containsText" priority="387" operator="containsText" id="{873DF1A5-52EB-4DE7-9ECC-B0E2CB035203}">
            <xm:f>NOT(ISERROR(SEARCH("high",H82)))</xm:f>
            <xm:f>"high"</xm:f>
            <x14:dxf>
              <fill>
                <patternFill>
                  <bgColor theme="9"/>
                </patternFill>
              </fill>
            </x14:dxf>
          </x14:cfRule>
          <xm:sqref>H82</xm:sqref>
        </x14:conditionalFormatting>
        <x14:conditionalFormatting xmlns:xm="http://schemas.microsoft.com/office/excel/2006/main">
          <x14:cfRule type="containsText" priority="368" operator="containsText" id="{48A1E32F-2AAC-4475-94FF-DA4E3A0C7E84}">
            <xm:f>NOT(ISERROR(SEARCH(Hidden_Lists!$C$27,H82)))</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367" operator="containsText" id="{FC7F0352-7E12-4C6A-87A6-0D0F44A0A16A}">
            <xm:f>NOT(ISERROR(SEARCH(Hidden_Lists!$C$28,H82)))</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363" operator="containsText" id="{96E698A3-975E-4197-A784-97F0D58E8B3D}">
            <xm:f>NOT(ISERROR(SEARCH(Hidden_Lists!$C$29,H82)))</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H82:H83</xm:sqref>
        </x14:conditionalFormatting>
        <x14:conditionalFormatting xmlns:xm="http://schemas.microsoft.com/office/excel/2006/main">
          <x14:cfRule type="containsText" priority="364" operator="containsText" id="{4DBD4B0B-A681-4B2D-A63E-71A4DF075D65}">
            <xm:f>NOT(ISERROR(SEARCH("high",H83)))</xm:f>
            <xm:f>"high"</xm:f>
            <x14:dxf>
              <fill>
                <patternFill>
                  <bgColor theme="9"/>
                </patternFill>
              </fill>
            </x14:dxf>
          </x14:cfRule>
          <x14:cfRule type="containsText" priority="365" operator="containsText" id="{8341EFAA-C571-407E-AA7E-23516A346816}">
            <xm:f>NOT(ISERROR(SEARCH( "average",H83)))</xm:f>
            <xm:f xml:space="preserve"> "average"</xm:f>
            <x14:dxf>
              <fill>
                <patternFill>
                  <bgColor theme="7" tint="0.59996337778862885"/>
                </patternFill>
              </fill>
            </x14:dxf>
          </x14:cfRule>
          <x14:cfRule type="containsText" priority="366" operator="containsText" id="{17E5BB0C-498F-45A0-A527-0B612B3B2626}">
            <xm:f>NOT(ISERROR(SEARCH( "weak",H83)))</xm:f>
            <xm:f xml:space="preserve"> "weak"</xm:f>
            <x14:dxf>
              <fill>
                <patternFill>
                  <fgColor auto="1"/>
                  <bgColor rgb="FFFF7D7D"/>
                </patternFill>
              </fill>
            </x14:dxf>
          </x14:cfRule>
          <xm:sqref>H83</xm:sqref>
        </x14:conditionalFormatting>
        <x14:conditionalFormatting xmlns:xm="http://schemas.microsoft.com/office/excel/2006/main">
          <x14:cfRule type="containsText" priority="344" operator="containsText" id="{536D7EC3-683D-4FAC-83D9-40EB58F23111}">
            <xm:f>NOT(ISERROR(SEARCH(Hidden_Lists!$C$28,H83)))</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340" operator="containsText" id="{E4CDC4C6-7973-49FB-A883-AC532A5A2878}">
            <xm:f>NOT(ISERROR(SEARCH(Hidden_Lists!$C$29,H83)))</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345" operator="containsText" id="{26980474-BB08-4D61-9577-61FFFEBE4BA8}">
            <xm:f>NOT(ISERROR(SEARCH(Hidden_Lists!$C$27,H83)))</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m:sqref>H83:H84</xm:sqref>
        </x14:conditionalFormatting>
        <x14:conditionalFormatting xmlns:xm="http://schemas.microsoft.com/office/excel/2006/main">
          <x14:cfRule type="containsText" priority="343" operator="containsText" id="{25F76778-A57B-485C-BB86-203D22ABC57C}">
            <xm:f>NOT(ISERROR(SEARCH( "weak",H84)))</xm:f>
            <xm:f xml:space="preserve"> "weak"</xm:f>
            <x14:dxf>
              <fill>
                <patternFill>
                  <fgColor auto="1"/>
                  <bgColor rgb="FFFF7D7D"/>
                </patternFill>
              </fill>
            </x14:dxf>
          </x14:cfRule>
          <x14:cfRule type="containsText" priority="342" operator="containsText" id="{08FB7106-FD5D-42B0-94A3-8E58503DF30E}">
            <xm:f>NOT(ISERROR(SEARCH( "average",H84)))</xm:f>
            <xm:f xml:space="preserve"> "average"</xm:f>
            <x14:dxf>
              <fill>
                <patternFill>
                  <bgColor theme="7" tint="0.59996337778862885"/>
                </patternFill>
              </fill>
            </x14:dxf>
          </x14:cfRule>
          <x14:cfRule type="containsText" priority="341" operator="containsText" id="{D5178C6F-852C-4E0E-AF43-5582BFAB4B4D}">
            <xm:f>NOT(ISERROR(SEARCH("high",H84)))</xm:f>
            <xm:f>"high"</xm:f>
            <x14:dxf>
              <fill>
                <patternFill>
                  <bgColor theme="9"/>
                </patternFill>
              </fill>
            </x14:dxf>
          </x14:cfRule>
          <xm:sqref>H84</xm:sqref>
        </x14:conditionalFormatting>
        <x14:conditionalFormatting xmlns:xm="http://schemas.microsoft.com/office/excel/2006/main">
          <x14:cfRule type="containsText" priority="322" operator="containsText" id="{0A5A8006-0787-4C3F-8172-F33C3EEAF0AB}">
            <xm:f>NOT(ISERROR(SEARCH(Hidden_Lists!$C$27,H84)))</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321" operator="containsText" id="{79ED24BD-7E51-4BA4-BB37-80AD89D7D2B5}">
            <xm:f>NOT(ISERROR(SEARCH(Hidden_Lists!$C$28,H84)))</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317" operator="containsText" id="{23E1972E-885B-4605-A89E-6C3C289B049F}">
            <xm:f>NOT(ISERROR(SEARCH(Hidden_Lists!$C$29,H84)))</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H84:H85</xm:sqref>
        </x14:conditionalFormatting>
        <x14:conditionalFormatting xmlns:xm="http://schemas.microsoft.com/office/excel/2006/main">
          <x14:cfRule type="containsText" priority="320" operator="containsText" id="{A63E65DC-AEF3-4A6F-9773-ECFCAE00DA1E}">
            <xm:f>NOT(ISERROR(SEARCH( "weak",H85)))</xm:f>
            <xm:f xml:space="preserve"> "weak"</xm:f>
            <x14:dxf>
              <fill>
                <patternFill>
                  <fgColor auto="1"/>
                  <bgColor rgb="FFFF7D7D"/>
                </patternFill>
              </fill>
            </x14:dxf>
          </x14:cfRule>
          <x14:cfRule type="containsText" priority="319" operator="containsText" id="{AC3F867B-7695-4BE7-9BAD-F6BF60F5E781}">
            <xm:f>NOT(ISERROR(SEARCH( "average",H85)))</xm:f>
            <xm:f xml:space="preserve"> "average"</xm:f>
            <x14:dxf>
              <fill>
                <patternFill>
                  <bgColor theme="7" tint="0.59996337778862885"/>
                </patternFill>
              </fill>
            </x14:dxf>
          </x14:cfRule>
          <x14:cfRule type="containsText" priority="318" operator="containsText" id="{9AD56937-48AE-469D-8109-DC3D1904426F}">
            <xm:f>NOT(ISERROR(SEARCH("high",H85)))</xm:f>
            <xm:f>"high"</xm:f>
            <x14:dxf>
              <fill>
                <patternFill>
                  <bgColor theme="9"/>
                </patternFill>
              </fill>
            </x14:dxf>
          </x14:cfRule>
          <xm:sqref>H85</xm:sqref>
        </x14:conditionalFormatting>
        <x14:conditionalFormatting xmlns:xm="http://schemas.microsoft.com/office/excel/2006/main">
          <x14:cfRule type="containsText" priority="294" operator="containsText" id="{1B215F32-2576-4F02-AF43-CBC976F83C77}">
            <xm:f>NOT(ISERROR(SEARCH(Hidden_Lists!$C$29,H85)))</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298" operator="containsText" id="{D3978E37-E5AC-47CF-A69C-E50A2B44C9BB}">
            <xm:f>NOT(ISERROR(SEARCH(Hidden_Lists!$C$28,H85)))</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299" operator="containsText" id="{7808FF8A-0ED3-4A24-A06B-9388363DCCF7}">
            <xm:f>NOT(ISERROR(SEARCH(Hidden_Lists!$C$27,H85)))</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m:sqref>H85:H86</xm:sqref>
        </x14:conditionalFormatting>
        <x14:conditionalFormatting xmlns:xm="http://schemas.microsoft.com/office/excel/2006/main">
          <x14:cfRule type="containsText" priority="285" operator="containsText" id="{8AD2EA98-2D98-4B7B-983C-05273ECD9392}">
            <xm:f>NOT(ISERROR(SEARCH(Hidden_Lists!$C$28,H86)))</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286" operator="containsText" id="{F655E81B-D44C-4A61-B4FD-595C9FE8A444}">
            <xm:f>NOT(ISERROR(SEARCH(Hidden_Lists!$C$27,H86)))</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296" operator="containsText" id="{06E4E2B0-1EA3-4255-8B02-1E673E94C018}">
            <xm:f>NOT(ISERROR(SEARCH( "average",H86)))</xm:f>
            <xm:f xml:space="preserve"> "average"</xm:f>
            <x14:dxf>
              <fill>
                <patternFill>
                  <bgColor theme="7" tint="0.59996337778862885"/>
                </patternFill>
              </fill>
            </x14:dxf>
          </x14:cfRule>
          <x14:cfRule type="containsText" priority="295" operator="containsText" id="{1FDE11E5-BC27-4138-802A-EC19B79C34BF}">
            <xm:f>NOT(ISERROR(SEARCH("high",H86)))</xm:f>
            <xm:f>"high"</xm:f>
            <x14:dxf>
              <fill>
                <patternFill>
                  <bgColor theme="9"/>
                </patternFill>
              </fill>
            </x14:dxf>
          </x14:cfRule>
          <x14:cfRule type="containsText" priority="297" operator="containsText" id="{A64E5AF3-3DFA-4589-A42F-E0B256103F82}">
            <xm:f>NOT(ISERROR(SEARCH( "weak",H86)))</xm:f>
            <xm:f xml:space="preserve"> "weak"</xm:f>
            <x14:dxf>
              <fill>
                <patternFill>
                  <fgColor auto="1"/>
                  <bgColor rgb="FFFF7D7D"/>
                </patternFill>
              </fill>
            </x14:dxf>
          </x14:cfRule>
          <x14:cfRule type="containsText" priority="284" operator="containsText" id="{963BF90B-CBB4-4190-B698-5B03DD831D56}">
            <xm:f>NOT(ISERROR(SEARCH(Hidden_Lists!$C$29,H86)))</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H86</xm:sqref>
        </x14:conditionalFormatting>
        <x14:conditionalFormatting xmlns:xm="http://schemas.microsoft.com/office/excel/2006/main">
          <x14:cfRule type="containsText" priority="276" operator="containsText" id="{99320A7F-7EDC-40E3-8D44-E98C40716CAA}">
            <xm:f>NOT(ISERROR(SEARCH(Hidden_Lists!$C$27,H89)))</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275" operator="containsText" id="{EE7BAD56-1E1A-4291-9B80-806D5AA2CDC3}">
            <xm:f>NOT(ISERROR(SEARCH(Hidden_Lists!$C$28,H89)))</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274" operator="containsText" id="{35840943-442D-45C3-8FE4-2548E4AEF3F2}">
            <xm:f>NOT(ISERROR(SEARCH( "weak",H89)))</xm:f>
            <xm:f xml:space="preserve"> "weak"</xm:f>
            <x14:dxf>
              <fill>
                <patternFill>
                  <fgColor auto="1"/>
                  <bgColor rgb="FFFF7D7D"/>
                </patternFill>
              </fill>
            </x14:dxf>
          </x14:cfRule>
          <x14:cfRule type="containsText" priority="273" operator="containsText" id="{4B00B916-FD00-4186-8CC7-F245E7285CAD}">
            <xm:f>NOT(ISERROR(SEARCH( "average",H89)))</xm:f>
            <xm:f xml:space="preserve"> "average"</xm:f>
            <x14:dxf>
              <fill>
                <patternFill>
                  <bgColor theme="7" tint="0.59996337778862885"/>
                </patternFill>
              </fill>
            </x14:dxf>
          </x14:cfRule>
          <x14:cfRule type="containsText" priority="272" operator="containsText" id="{8B7EAA7A-48C3-41E7-B5AD-9C2BAABCB6C4}">
            <xm:f>NOT(ISERROR(SEARCH("high",H89)))</xm:f>
            <xm:f>"high"</xm:f>
            <x14:dxf>
              <fill>
                <patternFill>
                  <bgColor theme="9"/>
                </patternFill>
              </fill>
            </x14:dxf>
          </x14:cfRule>
          <x14:cfRule type="containsText" priority="271" operator="containsText" id="{F1FF7372-5548-456C-AFBF-8DAC27B874E6}">
            <xm:f>NOT(ISERROR(SEARCH(Hidden_Lists!$C$29,H89)))</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H89</xm:sqref>
        </x14:conditionalFormatting>
        <x14:conditionalFormatting xmlns:xm="http://schemas.microsoft.com/office/excel/2006/main">
          <x14:cfRule type="containsText" priority="248" operator="containsText" id="{BC7DCDC4-DB83-4239-A043-A1E5C1042CE3}">
            <xm:f>NOT(ISERROR(SEARCH(Hidden_Lists!$C$29,H89)))</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253" operator="containsText" id="{4AA3E31D-F33A-4724-862F-1093064016F2}">
            <xm:f>NOT(ISERROR(SEARCH(Hidden_Lists!$C$27,H89)))</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252" operator="containsText" id="{DBDB3512-3E2A-4D87-AB00-9DBF46D0CEFD}">
            <xm:f>NOT(ISERROR(SEARCH(Hidden_Lists!$C$28,H89)))</xm:f>
            <xm:f>Hidden_Lists!$C$28</xm:f>
            <x14:dxf>
              <fill>
                <patternFill>
                  <bgColor theme="8" tint="0.59996337778862885"/>
                </patternFill>
              </fill>
              <border>
                <left style="thin">
                  <color auto="1"/>
                </left>
                <right style="thin">
                  <color auto="1"/>
                </right>
                <top style="thin">
                  <color auto="1"/>
                </top>
                <bottom style="thin">
                  <color auto="1"/>
                </bottom>
              </border>
            </x14:dxf>
          </x14:cfRule>
          <xm:sqref>H89:H90</xm:sqref>
        </x14:conditionalFormatting>
        <x14:conditionalFormatting xmlns:xm="http://schemas.microsoft.com/office/excel/2006/main">
          <x14:cfRule type="containsText" priority="250" operator="containsText" id="{03E0A126-B64C-4473-980C-27012DF485C7}">
            <xm:f>NOT(ISERROR(SEARCH( "average",H90)))</xm:f>
            <xm:f xml:space="preserve"> "average"</xm:f>
            <x14:dxf>
              <fill>
                <patternFill>
                  <bgColor theme="7" tint="0.59996337778862885"/>
                </patternFill>
              </fill>
            </x14:dxf>
          </x14:cfRule>
          <x14:cfRule type="containsText" priority="251" operator="containsText" id="{C047EF0E-A065-4140-9077-0C89EF24396F}">
            <xm:f>NOT(ISERROR(SEARCH( "weak",H90)))</xm:f>
            <xm:f xml:space="preserve"> "weak"</xm:f>
            <x14:dxf>
              <fill>
                <patternFill>
                  <fgColor auto="1"/>
                  <bgColor rgb="FFFF7D7D"/>
                </patternFill>
              </fill>
            </x14:dxf>
          </x14:cfRule>
          <x14:cfRule type="containsText" priority="249" operator="containsText" id="{C35DB9C9-2FB7-4263-AE26-09CCF0AD0E8B}">
            <xm:f>NOT(ISERROR(SEARCH("high",H90)))</xm:f>
            <xm:f>"high"</xm:f>
            <x14:dxf>
              <fill>
                <patternFill>
                  <bgColor theme="9"/>
                </patternFill>
              </fill>
            </x14:dxf>
          </x14:cfRule>
          <xm:sqref>H90</xm:sqref>
        </x14:conditionalFormatting>
        <x14:conditionalFormatting xmlns:xm="http://schemas.microsoft.com/office/excel/2006/main">
          <x14:cfRule type="containsText" priority="230" operator="containsText" id="{C7F3C044-4EBF-4B97-A680-3F15FED28A7D}">
            <xm:f>NOT(ISERROR(SEARCH(Hidden_Lists!$C$27,H90)))</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229" operator="containsText" id="{049A0A95-5939-41F1-9F19-CBFB157A2187}">
            <xm:f>NOT(ISERROR(SEARCH(Hidden_Lists!$C$28,H90)))</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225" operator="containsText" id="{54FF72C6-4D6E-490E-B6B4-9A4266E5A2D3}">
            <xm:f>NOT(ISERROR(SEARCH(Hidden_Lists!$C$29,H90)))</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H90:H91</xm:sqref>
        </x14:conditionalFormatting>
        <x14:conditionalFormatting xmlns:xm="http://schemas.microsoft.com/office/excel/2006/main">
          <x14:cfRule type="containsText" priority="228" operator="containsText" id="{AAB3154D-2ED4-4A40-B1F0-5355D96D974F}">
            <xm:f>NOT(ISERROR(SEARCH( "weak",H91)))</xm:f>
            <xm:f xml:space="preserve"> "weak"</xm:f>
            <x14:dxf>
              <fill>
                <patternFill>
                  <fgColor auto="1"/>
                  <bgColor rgb="FFFF7D7D"/>
                </patternFill>
              </fill>
            </x14:dxf>
          </x14:cfRule>
          <x14:cfRule type="containsText" priority="227" operator="containsText" id="{70A0CA48-FE3D-4530-8FE0-5C85AC765464}">
            <xm:f>NOT(ISERROR(SEARCH( "average",H91)))</xm:f>
            <xm:f xml:space="preserve"> "average"</xm:f>
            <x14:dxf>
              <fill>
                <patternFill>
                  <bgColor theme="7" tint="0.59996337778862885"/>
                </patternFill>
              </fill>
            </x14:dxf>
          </x14:cfRule>
          <x14:cfRule type="containsText" priority="226" operator="containsText" id="{3BF3675C-A2E8-47B0-9C16-03FD49C1A56E}">
            <xm:f>NOT(ISERROR(SEARCH("high",H91)))</xm:f>
            <xm:f>"high"</xm:f>
            <x14:dxf>
              <fill>
                <patternFill>
                  <bgColor theme="9"/>
                </patternFill>
              </fill>
            </x14:dxf>
          </x14:cfRule>
          <xm:sqref>H91</xm:sqref>
        </x14:conditionalFormatting>
        <x14:conditionalFormatting xmlns:xm="http://schemas.microsoft.com/office/excel/2006/main">
          <x14:cfRule type="containsText" priority="206" operator="containsText" id="{65C04987-BA4A-4FB6-8DFA-F79D249B46DA}">
            <xm:f>NOT(ISERROR(SEARCH(Hidden_Lists!$C$28,H91)))</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202" operator="containsText" id="{3A66BB02-AE3D-4C42-A47E-6605F21BCA8F}">
            <xm:f>NOT(ISERROR(SEARCH(Hidden_Lists!$C$29,H91)))</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207" operator="containsText" id="{08131220-366A-442F-BEF9-9EC2D16A6F3E}">
            <xm:f>NOT(ISERROR(SEARCH(Hidden_Lists!$C$27,H91)))</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m:sqref>H91:H92</xm:sqref>
        </x14:conditionalFormatting>
        <x14:conditionalFormatting xmlns:xm="http://schemas.microsoft.com/office/excel/2006/main">
          <x14:cfRule type="containsText" priority="204" operator="containsText" id="{CF65905E-7AB1-4538-A87D-8B4C59BCEF91}">
            <xm:f>NOT(ISERROR(SEARCH( "average",H92)))</xm:f>
            <xm:f xml:space="preserve"> "average"</xm:f>
            <x14:dxf>
              <fill>
                <patternFill>
                  <bgColor theme="7" tint="0.59996337778862885"/>
                </patternFill>
              </fill>
            </x14:dxf>
          </x14:cfRule>
          <x14:cfRule type="containsText" priority="205" operator="containsText" id="{4AEE0E9C-987F-4CE2-80F0-DF6DDECDA6A2}">
            <xm:f>NOT(ISERROR(SEARCH( "weak",H92)))</xm:f>
            <xm:f xml:space="preserve"> "weak"</xm:f>
            <x14:dxf>
              <fill>
                <patternFill>
                  <fgColor auto="1"/>
                  <bgColor rgb="FFFF7D7D"/>
                </patternFill>
              </fill>
            </x14:dxf>
          </x14:cfRule>
          <x14:cfRule type="containsText" priority="203" operator="containsText" id="{5FDD2FCE-204B-49A5-B81F-15536B496723}">
            <xm:f>NOT(ISERROR(SEARCH("high",H92)))</xm:f>
            <xm:f>"high"</xm:f>
            <x14:dxf>
              <fill>
                <patternFill>
                  <bgColor theme="9"/>
                </patternFill>
              </fill>
            </x14:dxf>
          </x14:cfRule>
          <xm:sqref>H92</xm:sqref>
        </x14:conditionalFormatting>
        <x14:conditionalFormatting xmlns:xm="http://schemas.microsoft.com/office/excel/2006/main">
          <x14:cfRule type="containsText" priority="160" operator="containsText" id="{8195E4EA-8538-4B0C-AB07-1D12EFD1CF4B}">
            <xm:f>NOT(ISERROR(SEARCH(Hidden_Lists!$C$28,H92)))</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156" operator="containsText" id="{BB4E214B-17ED-4040-BC6B-D54480CF5D3F}">
            <xm:f>NOT(ISERROR(SEARCH(Hidden_Lists!$C$29,H92)))</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161" operator="containsText" id="{A981BC23-6363-4B33-9242-32BE0C5DD7E7}">
            <xm:f>NOT(ISERROR(SEARCH(Hidden_Lists!$C$27,H92)))</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m:sqref>H92:H94</xm:sqref>
        </x14:conditionalFormatting>
        <x14:conditionalFormatting xmlns:xm="http://schemas.microsoft.com/office/excel/2006/main">
          <x14:cfRule type="containsText" priority="159" operator="containsText" id="{64D3C6F8-B44D-4CED-B594-3C76CAD07C03}">
            <xm:f>NOT(ISERROR(SEARCH( "weak",H93)))</xm:f>
            <xm:f xml:space="preserve"> "weak"</xm:f>
            <x14:dxf>
              <fill>
                <patternFill>
                  <fgColor auto="1"/>
                  <bgColor rgb="FFFF7D7D"/>
                </patternFill>
              </fill>
            </x14:dxf>
          </x14:cfRule>
          <x14:cfRule type="containsText" priority="158" operator="containsText" id="{0DE519D2-FB3B-4E90-A786-B3F4343CCBDF}">
            <xm:f>NOT(ISERROR(SEARCH( "average",H93)))</xm:f>
            <xm:f xml:space="preserve"> "average"</xm:f>
            <x14:dxf>
              <fill>
                <patternFill>
                  <bgColor theme="7" tint="0.59996337778862885"/>
                </patternFill>
              </fill>
            </x14:dxf>
          </x14:cfRule>
          <x14:cfRule type="containsText" priority="157" operator="containsText" id="{A60A91EE-B1AE-4B02-B8E0-94735C2C7209}">
            <xm:f>NOT(ISERROR(SEARCH("high",H93)))</xm:f>
            <xm:f>"high"</xm:f>
            <x14:dxf>
              <fill>
                <patternFill>
                  <bgColor theme="9"/>
                </patternFill>
              </fill>
            </x14:dxf>
          </x14:cfRule>
          <x14:cfRule type="containsText" priority="148" operator="containsText" id="{44780E4E-B8D3-47EE-AF26-7A87852A7F58}">
            <xm:f>NOT(ISERROR(SEARCH(Hidden_Lists!$C$27,H93)))</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147" operator="containsText" id="{39ADFDF1-21B3-4C8F-847D-75C451C95677}">
            <xm:f>NOT(ISERROR(SEARCH(Hidden_Lists!$C$28,H93)))</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146" operator="containsText" id="{52B37D3F-CB75-49C2-BCA9-37FE2C906F20}">
            <xm:f>NOT(ISERROR(SEARCH(Hidden_Lists!$C$29,H93)))</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H93</xm:sqref>
        </x14:conditionalFormatting>
        <x14:conditionalFormatting xmlns:xm="http://schemas.microsoft.com/office/excel/2006/main">
          <x14:cfRule type="containsText" priority="179" operator="containsText" id="{5968CD24-8AB5-4926-AB60-FBC1407CC397}">
            <xm:f>NOT(ISERROR(SEARCH(Hidden_Lists!$C$29,H94)))</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180" operator="containsText" id="{B7F51C08-B26A-4CB3-BE81-FC72009A14FA}">
            <xm:f>NOT(ISERROR(SEARCH("high",H94)))</xm:f>
            <xm:f>"high"</xm:f>
            <x14:dxf>
              <fill>
                <patternFill>
                  <bgColor theme="9"/>
                </patternFill>
              </fill>
            </x14:dxf>
          </x14:cfRule>
          <x14:cfRule type="containsText" priority="181" operator="containsText" id="{0DC84342-B452-4ABD-87A3-C6B41B79CA46}">
            <xm:f>NOT(ISERROR(SEARCH( "average",H94)))</xm:f>
            <xm:f xml:space="preserve"> "average"</xm:f>
            <x14:dxf>
              <fill>
                <patternFill>
                  <bgColor theme="7" tint="0.59996337778862885"/>
                </patternFill>
              </fill>
            </x14:dxf>
          </x14:cfRule>
          <x14:cfRule type="containsText" priority="182" operator="containsText" id="{85F1D952-3499-4A5B-9696-D05178863682}">
            <xm:f>NOT(ISERROR(SEARCH( "weak",H94)))</xm:f>
            <xm:f xml:space="preserve"> "weak"</xm:f>
            <x14:dxf>
              <fill>
                <patternFill>
                  <fgColor auto="1"/>
                  <bgColor rgb="FFFF7D7D"/>
                </patternFill>
              </fill>
            </x14:dxf>
          </x14:cfRule>
          <x14:cfRule type="containsText" priority="183" operator="containsText" id="{DBB131CF-8632-4FAA-B3A9-DCB55A7D1440}">
            <xm:f>NOT(ISERROR(SEARCH(Hidden_Lists!$C$28,H94)))</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184" operator="containsText" id="{BA0AA074-778B-4319-BF61-1C346F90363D}">
            <xm:f>NOT(ISERROR(SEARCH(Hidden_Lists!$C$27,H94)))</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m:sqref>H94</xm:sqref>
        </x14:conditionalFormatting>
        <x14:conditionalFormatting xmlns:xm="http://schemas.microsoft.com/office/excel/2006/main">
          <x14:cfRule type="containsText" priority="138" operator="containsText" id="{DB16B123-E911-43B9-90F3-782A673DE3EB}">
            <xm:f>NOT(ISERROR(SEARCH(Hidden_Lists!$C$27,H95)))</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135" operator="containsText" id="{5AD901DF-6FEC-46EE-AB26-88A4F7F337BC}">
            <xm:f>NOT(ISERROR(SEARCH( "average",H95)))</xm:f>
            <xm:f xml:space="preserve"> "average"</xm:f>
            <x14:dxf>
              <fill>
                <patternFill>
                  <bgColor theme="7" tint="0.59996337778862885"/>
                </patternFill>
              </fill>
            </x14:dxf>
          </x14:cfRule>
          <x14:cfRule type="containsText" priority="136" operator="containsText" id="{30480D5F-3BDC-42AA-BF4F-3409C72F281F}">
            <xm:f>NOT(ISERROR(SEARCH( "weak",H95)))</xm:f>
            <xm:f xml:space="preserve"> "weak"</xm:f>
            <x14:dxf>
              <fill>
                <patternFill>
                  <fgColor auto="1"/>
                  <bgColor rgb="FFFF7D7D"/>
                </patternFill>
              </fill>
            </x14:dxf>
          </x14:cfRule>
          <x14:cfRule type="containsText" priority="137" operator="containsText" id="{7B74B5D7-1C98-4E43-9383-D55439C5FE9C}">
            <xm:f>NOT(ISERROR(SEARCH(Hidden_Lists!$C$28,H95)))</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134" operator="containsText" id="{7E85CFC8-4D55-42D3-B7C1-6574120D3D45}">
            <xm:f>NOT(ISERROR(SEARCH("high",H95)))</xm:f>
            <xm:f>"high"</xm:f>
            <x14:dxf>
              <fill>
                <patternFill>
                  <bgColor theme="9"/>
                </patternFill>
              </fill>
            </x14:dxf>
          </x14:cfRule>
          <x14:cfRule type="containsText" priority="133" operator="containsText" id="{12077554-A640-494B-852C-7B7EA1094CE0}">
            <xm:f>NOT(ISERROR(SEARCH(Hidden_Lists!$C$29,H95)))</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m:sqref>H95</xm:sqref>
        </x14:conditionalFormatting>
        <x14:conditionalFormatting xmlns:xm="http://schemas.microsoft.com/office/excel/2006/main">
          <x14:cfRule type="containsText" priority="110" operator="containsText" id="{4B1F38A7-2412-43AC-8D86-D5ADB6984E4C}">
            <xm:f>NOT(ISERROR(SEARCH(Hidden_Lists!$C$29,H95)))</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115" operator="containsText" id="{8A54BEA6-5F82-4240-95A3-C4732CC5C96A}">
            <xm:f>NOT(ISERROR(SEARCH(Hidden_Lists!$C$27,H95)))</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114" operator="containsText" id="{E619B6A3-35A3-4AB0-84A6-596854573E65}">
            <xm:f>NOT(ISERROR(SEARCH(Hidden_Lists!$C$28,H95)))</xm:f>
            <xm:f>Hidden_Lists!$C$28</xm:f>
            <x14:dxf>
              <fill>
                <patternFill>
                  <bgColor theme="8" tint="0.59996337778862885"/>
                </patternFill>
              </fill>
              <border>
                <left style="thin">
                  <color auto="1"/>
                </left>
                <right style="thin">
                  <color auto="1"/>
                </right>
                <top style="thin">
                  <color auto="1"/>
                </top>
                <bottom style="thin">
                  <color auto="1"/>
                </bottom>
              </border>
            </x14:dxf>
          </x14:cfRule>
          <xm:sqref>H95:H96</xm:sqref>
        </x14:conditionalFormatting>
        <x14:conditionalFormatting xmlns:xm="http://schemas.microsoft.com/office/excel/2006/main">
          <x14:cfRule type="containsText" priority="113" operator="containsText" id="{542C3539-CEEA-466F-B1C6-0F5C5D371160}">
            <xm:f>NOT(ISERROR(SEARCH( "weak",H96)))</xm:f>
            <xm:f xml:space="preserve"> "weak"</xm:f>
            <x14:dxf>
              <fill>
                <patternFill>
                  <fgColor auto="1"/>
                  <bgColor rgb="FFFF7D7D"/>
                </patternFill>
              </fill>
            </x14:dxf>
          </x14:cfRule>
          <x14:cfRule type="containsText" priority="112" operator="containsText" id="{5817CC1A-7513-4E7C-BC0B-16AFE558C9F8}">
            <xm:f>NOT(ISERROR(SEARCH( "average",H96)))</xm:f>
            <xm:f xml:space="preserve"> "average"</xm:f>
            <x14:dxf>
              <fill>
                <patternFill>
                  <bgColor theme="7" tint="0.59996337778862885"/>
                </patternFill>
              </fill>
            </x14:dxf>
          </x14:cfRule>
          <x14:cfRule type="containsText" priority="111" operator="containsText" id="{E52D24BC-A8BF-498C-862E-8C9396C227F0}">
            <xm:f>NOT(ISERROR(SEARCH("high",H96)))</xm:f>
            <xm:f>"high"</xm:f>
            <x14:dxf>
              <fill>
                <patternFill>
                  <bgColor theme="9"/>
                </patternFill>
              </fill>
            </x14:dxf>
          </x14:cfRule>
          <xm:sqref>H96</xm:sqref>
        </x14:conditionalFormatting>
        <x14:conditionalFormatting xmlns:xm="http://schemas.microsoft.com/office/excel/2006/main">
          <x14:cfRule type="containsText" priority="18" operator="containsText" id="{41F5C36E-22C7-4722-9531-D05A80B227F5}">
            <xm:f>NOT(ISERROR(SEARCH(Hidden_Lists!$C$29,H96)))</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22" operator="containsText" id="{8463D6E1-05CF-48E3-836D-0CBECF470324}">
            <xm:f>NOT(ISERROR(SEARCH(Hidden_Lists!$C$28,H96)))</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23" operator="containsText" id="{5168E9DB-55D0-4FA9-AECB-732A0AF0D4E3}">
            <xm:f>NOT(ISERROR(SEARCH(Hidden_Lists!$C$27,H96)))</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m:sqref>H96:H100</xm:sqref>
        </x14:conditionalFormatting>
        <x14:conditionalFormatting xmlns:xm="http://schemas.microsoft.com/office/excel/2006/main">
          <x14:cfRule type="containsText" priority="19" operator="containsText" id="{9E8C701A-0DDC-4E11-A9A6-4468FFE5B57B}">
            <xm:f>NOT(ISERROR(SEARCH("high",H97)))</xm:f>
            <xm:f>"high"</xm:f>
            <x14:dxf>
              <fill>
                <patternFill>
                  <bgColor theme="9"/>
                </patternFill>
              </fill>
            </x14:dxf>
          </x14:cfRule>
          <x14:cfRule type="containsText" priority="20" operator="containsText" id="{A2076F9B-9A34-47FD-8172-06A89759D47C}">
            <xm:f>NOT(ISERROR(SEARCH( "average",H97)))</xm:f>
            <xm:f xml:space="preserve"> "average"</xm:f>
            <x14:dxf>
              <fill>
                <patternFill>
                  <bgColor theme="7" tint="0.59996337778862885"/>
                </patternFill>
              </fill>
            </x14:dxf>
          </x14:cfRule>
          <x14:cfRule type="containsText" priority="8" operator="containsText" id="{E9452670-59DD-4609-829C-E826C0A688D4}">
            <xm:f>NOT(ISERROR(SEARCH(Hidden_Lists!$C$29,H97)))</xm:f>
            <xm:f>Hidden_Lists!$C$29</xm:f>
            <x14:dxf>
              <fill>
                <patternFill>
                  <bgColor theme="8" tint="0.39994506668294322"/>
                </patternFill>
              </fill>
              <border>
                <left style="thin">
                  <color auto="1"/>
                </left>
                <right style="thin">
                  <color auto="1"/>
                </right>
                <top style="thin">
                  <color auto="1"/>
                </top>
                <bottom style="thin">
                  <color auto="1"/>
                </bottom>
                <vertical/>
                <horizontal/>
              </border>
            </x14:dxf>
          </x14:cfRule>
          <x14:cfRule type="containsText" priority="10" operator="containsText" id="{9DDE50CE-6C1C-4A0D-8A13-8BC591F4E058}">
            <xm:f>NOT(ISERROR(SEARCH(Hidden_Lists!$C$27,H97)))</xm:f>
            <xm:f>Hidden_Lists!$C$27</xm:f>
            <x14:dxf>
              <fill>
                <patternFill>
                  <fgColor auto="1"/>
                  <bgColor theme="8" tint="0.79998168889431442"/>
                </patternFill>
              </fill>
              <border>
                <left style="thin">
                  <color auto="1"/>
                </left>
                <right style="thin">
                  <color auto="1"/>
                </right>
                <top style="thin">
                  <color auto="1"/>
                </top>
                <bottom style="thin">
                  <color auto="1"/>
                </bottom>
              </border>
            </x14:dxf>
          </x14:cfRule>
          <x14:cfRule type="containsText" priority="9" operator="containsText" id="{0A43DEC1-E92F-4692-A8EC-5156DBC077F8}">
            <xm:f>NOT(ISERROR(SEARCH(Hidden_Lists!$C$28,H97)))</xm:f>
            <xm:f>Hidden_Lists!$C$28</xm:f>
            <x14:dxf>
              <fill>
                <patternFill>
                  <bgColor theme="8" tint="0.59996337778862885"/>
                </patternFill>
              </fill>
              <border>
                <left style="thin">
                  <color auto="1"/>
                </left>
                <right style="thin">
                  <color auto="1"/>
                </right>
                <top style="thin">
                  <color auto="1"/>
                </top>
                <bottom style="thin">
                  <color auto="1"/>
                </bottom>
              </border>
            </x14:dxf>
          </x14:cfRule>
          <x14:cfRule type="containsText" priority="21" operator="containsText" id="{C9CE2949-A631-4973-B844-7770AA508E2B}">
            <xm:f>NOT(ISERROR(SEARCH( "weak",H97)))</xm:f>
            <xm:f xml:space="preserve"> "weak"</xm:f>
            <x14:dxf>
              <fill>
                <patternFill>
                  <fgColor auto="1"/>
                  <bgColor rgb="FFFF7D7D"/>
                </patternFill>
              </fill>
            </x14:dxf>
          </x14:cfRule>
          <xm:sqref>H97:H100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Hidden_Lists!$C$22:$C$23</xm:f>
          </x14:formula1>
          <xm:sqref>G36:G48 I51:K58 I61:K63 I36:K48 G61:G63 G66:G68 G51:G58 G81:G86 I66:K68 G71:G78 I81:K86 I71:K78 G89:G100 I89:K100</xm:sqref>
        </x14:dataValidation>
        <x14:dataValidation type="list" allowBlank="1" showInputMessage="1" showErrorMessage="1" xr:uid="{00000000-0002-0000-0100-000001000000}">
          <x14:formula1>
            <xm:f>Hidden_Lists!$C$25:$C$29</xm:f>
          </x14:formula1>
          <xm:sqref>H51:H58 H36:H48 H81:H86 H61:H63 H66:H68 H71:H78 H89:H100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J50"/>
  <sheetViews>
    <sheetView topLeftCell="A23" zoomScaleNormal="100" workbookViewId="0">
      <selection activeCell="D30" sqref="D30"/>
    </sheetView>
  </sheetViews>
  <sheetFormatPr baseColWidth="10" defaultColWidth="11" defaultRowHeight="16" x14ac:dyDescent="0.2"/>
  <cols>
    <col min="1" max="2" width="3.6640625" style="1" customWidth="1"/>
    <col min="3" max="3" width="30.6640625" style="1" customWidth="1"/>
    <col min="4" max="4" width="25.6640625" style="1" customWidth="1"/>
    <col min="5" max="5" width="20.6640625" style="1" customWidth="1"/>
    <col min="6" max="7" width="30.6640625" style="1" customWidth="1"/>
    <col min="8" max="16384" width="11" style="1"/>
  </cols>
  <sheetData>
    <row r="1" spans="1:10" ht="15" customHeight="1" x14ac:dyDescent="0.2">
      <c r="A1" s="95"/>
      <c r="B1" s="95"/>
      <c r="C1" s="95"/>
      <c r="D1" s="95"/>
      <c r="E1" s="95"/>
      <c r="F1" s="95"/>
      <c r="G1" s="95"/>
      <c r="H1" s="95"/>
      <c r="I1" s="95"/>
      <c r="J1" s="95"/>
    </row>
    <row r="2" spans="1:10" ht="19" x14ac:dyDescent="0.25">
      <c r="A2" s="11"/>
      <c r="B2" s="27" t="str">
        <f>VLOOKUP("General_Header",Hidden_Translations!$B$11:$J$129,Hidden_Translations!$C$8,FALSE)</f>
        <v>Boosting Energy Transition of the Dairy value chain (BETTED project)</v>
      </c>
      <c r="C2" s="23"/>
      <c r="D2" s="23"/>
      <c r="E2" s="23"/>
      <c r="F2" s="23"/>
      <c r="G2" s="33"/>
      <c r="H2" s="95"/>
      <c r="I2" s="95"/>
      <c r="J2" s="95"/>
    </row>
    <row r="3" spans="1:10" ht="15" customHeight="1" x14ac:dyDescent="0.2">
      <c r="A3" s="11"/>
      <c r="B3" s="11"/>
      <c r="C3" s="11"/>
      <c r="D3" s="11"/>
      <c r="E3" s="11"/>
      <c r="F3" s="11"/>
      <c r="G3" s="11"/>
      <c r="H3" s="95"/>
      <c r="I3" s="95"/>
      <c r="J3" s="95"/>
    </row>
    <row r="4" spans="1:10" ht="19" x14ac:dyDescent="0.2">
      <c r="A4" s="11"/>
      <c r="B4" s="29" t="str">
        <f>VLOOKUP("Analysis_Header",Hidden_Translations!$B$11:$K$1045,Hidden_Translations!$C$8,FALSE)</f>
        <v>#7: NEB Evaluator: Analyse relevant non-energy benefits in more detail</v>
      </c>
      <c r="C4" s="29"/>
      <c r="D4" s="29"/>
      <c r="E4" s="29"/>
      <c r="F4" s="29"/>
      <c r="G4" s="29"/>
      <c r="H4" s="95"/>
      <c r="I4" s="95"/>
      <c r="J4" s="95"/>
    </row>
    <row r="5" spans="1:10" ht="15" customHeight="1" x14ac:dyDescent="0.2">
      <c r="A5" s="11"/>
      <c r="B5" s="12"/>
      <c r="C5" s="13"/>
      <c r="D5" s="13"/>
      <c r="E5" s="13"/>
      <c r="F5" s="13"/>
      <c r="G5" s="13"/>
      <c r="H5" s="95"/>
      <c r="I5" s="95"/>
      <c r="J5" s="95"/>
    </row>
    <row r="6" spans="1:10" ht="45" customHeight="1" x14ac:dyDescent="0.2">
      <c r="A6" s="11"/>
      <c r="B6" s="108" t="str">
        <f>VLOOKUP("Analysis_Header_Text",Hidden_Translations!$B$11:$K$1045,Hidden_Translations!$C$8,FALSE)</f>
        <v>Start a detailed analysis for your chosen and prioritized NEBs. Try to assess them in a qualitative or quantitative way and monetise them if possible. To which extent are other stages in your dairy supply chain affected by the NEB?</v>
      </c>
      <c r="C6" s="108"/>
      <c r="D6" s="108"/>
      <c r="E6" s="108"/>
      <c r="F6" s="108"/>
      <c r="G6" s="108"/>
      <c r="H6" s="95"/>
      <c r="I6" s="95"/>
      <c r="J6" s="95"/>
    </row>
    <row r="7" spans="1:10" ht="15" customHeight="1" x14ac:dyDescent="0.2">
      <c r="A7" s="11"/>
      <c r="B7" s="38"/>
      <c r="C7" s="38"/>
      <c r="D7" s="38"/>
      <c r="E7" s="38"/>
      <c r="F7" s="38"/>
      <c r="G7" s="38"/>
      <c r="H7" s="95"/>
      <c r="I7" s="95"/>
      <c r="J7" s="95"/>
    </row>
    <row r="8" spans="1:10" ht="15" customHeight="1" x14ac:dyDescent="0.2">
      <c r="A8" s="11"/>
      <c r="B8" s="69" t="str">
        <f>VLOOKUP("Analysis_Overview",Hidden_Translations!$B$11:$K$1045,Hidden_Translations!$C$8,FALSE)</f>
        <v>Overview of prioritized NEBs for your EEM</v>
      </c>
      <c r="C8" s="70"/>
      <c r="D8" s="70"/>
      <c r="E8" s="70"/>
      <c r="F8" s="70"/>
      <c r="G8" s="69"/>
      <c r="H8" s="95"/>
      <c r="I8" s="95"/>
      <c r="J8" s="95"/>
    </row>
    <row r="9" spans="1:10" ht="15" customHeight="1" x14ac:dyDescent="0.2">
      <c r="A9" s="34"/>
      <c r="B9" s="35"/>
      <c r="C9" s="34"/>
      <c r="D9" s="34"/>
      <c r="E9" s="34"/>
      <c r="F9" s="34"/>
      <c r="G9" s="34"/>
      <c r="H9" s="95"/>
      <c r="I9" s="95"/>
      <c r="J9" s="95"/>
    </row>
    <row r="10" spans="1:10" ht="30" customHeight="1" x14ac:dyDescent="0.2">
      <c r="A10" s="34"/>
      <c r="B10" s="120" t="str">
        <f>VLOOKUP("Analysis_Overview_Text",Hidden_Translations!$B$11:$K$1045,Hidden_Translations!$C$8,FALSE)</f>
        <v>Below you find an overview of your previously identified NEBs classified by their contribution to the strategy according to value propostion increase, cost decrease and risk reduction for your EEM.</v>
      </c>
      <c r="C10" s="120"/>
      <c r="D10" s="120"/>
      <c r="E10" s="120"/>
      <c r="F10" s="120"/>
      <c r="G10" s="120"/>
      <c r="H10" s="95"/>
      <c r="I10" s="95"/>
      <c r="J10" s="95"/>
    </row>
    <row r="11" spans="1:10" ht="15" customHeight="1" x14ac:dyDescent="0.2">
      <c r="A11" s="34"/>
      <c r="B11" s="35"/>
      <c r="C11" s="34"/>
      <c r="D11" s="34"/>
      <c r="E11" s="34"/>
      <c r="F11" s="34"/>
      <c r="G11" s="34"/>
      <c r="H11" s="95"/>
      <c r="I11" s="95"/>
      <c r="J11" s="95"/>
    </row>
    <row r="12" spans="1:10" x14ac:dyDescent="0.2">
      <c r="A12" s="11"/>
      <c r="B12" s="74" t="s">
        <v>9</v>
      </c>
      <c r="C12" s="122" t="str">
        <f>VLOOKUP("Analysis_NEBs_Cost",Hidden_Translations!$B$11:$K$1045,Hidden_Translations!$C$8,FALSE)</f>
        <v>NEBs for cost decrease</v>
      </c>
      <c r="D12" s="122"/>
      <c r="E12" s="122" t="str">
        <f>VLOOKUP("Analysis_NEBs_Value",Hidden_Translations!$B$11:$K$1045,Hidden_Translations!$C$8,FALSE)</f>
        <v>NEBs for value proposition increase</v>
      </c>
      <c r="F12" s="122"/>
      <c r="G12" s="75" t="str">
        <f>VLOOKUP("Analysis_NEBs_Risk",Hidden_Translations!$B$11:$K$1045,Hidden_Translations!$C$8,FALSE)</f>
        <v>NEBs for risk reduction</v>
      </c>
      <c r="H12" s="95"/>
      <c r="I12" s="95"/>
      <c r="J12" s="95"/>
    </row>
    <row r="13" spans="1:10" ht="45" customHeight="1" x14ac:dyDescent="0.2">
      <c r="A13" s="11"/>
      <c r="B13" s="17">
        <v>1</v>
      </c>
      <c r="C13" s="103" t="str">
        <f>IF(ISNA(VLOOKUP(1,Identification!$A$36:$K$100,4,FALSE)),"",VLOOKUP(1,Identification!$A$36:$K$100,4,FALSE))</f>
        <v/>
      </c>
      <c r="D13" s="103"/>
      <c r="E13" s="103" t="str">
        <f>IF(ISNA(VLOOKUP(1,Identification!$B$36:$K$100,3,FALSE)),"",VLOOKUP(1,Identification!$B$36:$K$100,3,FALSE))</f>
        <v/>
      </c>
      <c r="F13" s="103"/>
      <c r="G13" s="3" t="str">
        <f>IF(ISNA(VLOOKUP(1,Identification!$C$36:$K$100,2,FALSE)),"",VLOOKUP(1,Identification!$C$36:$K$100,2,FALSE))</f>
        <v/>
      </c>
      <c r="H13" s="95"/>
      <c r="I13" s="95"/>
      <c r="J13" s="95"/>
    </row>
    <row r="14" spans="1:10" ht="45" customHeight="1" x14ac:dyDescent="0.2">
      <c r="A14" s="11"/>
      <c r="B14" s="17">
        <v>2</v>
      </c>
      <c r="C14" s="103" t="str">
        <f>IF(ISNA(VLOOKUP(2,Identification!$A$36:$K$100,4,FALSE)),"",VLOOKUP(2,Identification!$A$36:$K$100,4,FALSE))</f>
        <v/>
      </c>
      <c r="D14" s="103"/>
      <c r="E14" s="103" t="str">
        <f>IF(ISNA(VLOOKUP(2,Identification!$B$36:$K$100,3,FALSE)),"",VLOOKUP(2,Identification!$B$36:$K$100,3,FALSE))</f>
        <v/>
      </c>
      <c r="F14" s="103"/>
      <c r="G14" s="3" t="str">
        <f>IF(ISNA(VLOOKUP(2,Identification!$C$36:$K$100,2,FALSE)),"",VLOOKUP(2,Identification!$C$36:$K$100,2,FALSE))</f>
        <v/>
      </c>
      <c r="H14" s="95"/>
      <c r="I14" s="95"/>
      <c r="J14" s="95"/>
    </row>
    <row r="15" spans="1:10" ht="45" customHeight="1" x14ac:dyDescent="0.2">
      <c r="A15" s="11"/>
      <c r="B15" s="17">
        <v>3</v>
      </c>
      <c r="C15" s="103" t="str">
        <f>IF(ISNA(VLOOKUP(4,Identification!$A$36:$K$100,4,FALSE)),"",VLOOKUP(4,Identification!$A$36:$K$100,4,FALSE))</f>
        <v/>
      </c>
      <c r="D15" s="103"/>
      <c r="E15" s="103" t="str">
        <f>IF(ISNA(VLOOKUP(4,Identification!$B$36:$K$100,3,FALSE)),"",VLOOKUP(4,Identification!$B$36:$K$100,3,FALSE))</f>
        <v/>
      </c>
      <c r="F15" s="103"/>
      <c r="G15" s="3" t="str">
        <f>IF(ISNA(VLOOKUP(4,Identification!$C$36:$K$100,2,FALSE)),"",VLOOKUP(4,Identification!$C$36:$K$100,2,FALSE))</f>
        <v/>
      </c>
      <c r="H15" s="95"/>
      <c r="I15" s="95"/>
      <c r="J15" s="95"/>
    </row>
    <row r="16" spans="1:10" ht="45" customHeight="1" x14ac:dyDescent="0.2">
      <c r="A16" s="11"/>
      <c r="B16" s="17">
        <v>4</v>
      </c>
      <c r="C16" s="121" t="str">
        <f>IF(ISNA(VLOOKUP(8,Identification!$A$36:$K$100,4,FALSE)),"",VLOOKUP(8,Identification!$A$36:$K$100,4,FALSE))</f>
        <v/>
      </c>
      <c r="D16" s="121"/>
      <c r="E16" s="103" t="str">
        <f>IF(ISNA(VLOOKUP(8,Identification!$B$36:$K$100,3,FALSE)),"",VLOOKUP(8,Identification!$B$36:$K$100,3,FALSE))</f>
        <v/>
      </c>
      <c r="F16" s="103"/>
      <c r="G16" s="3" t="str">
        <f>IF(ISNA(VLOOKUP(8,Identification!$C$36:$K$100,2,FALSE)),"",VLOOKUP(8,Identification!$C$36:$K$100,2,FALSE))</f>
        <v/>
      </c>
      <c r="H16" s="95"/>
      <c r="I16" s="95"/>
      <c r="J16" s="95"/>
    </row>
    <row r="17" spans="1:10" ht="45" customHeight="1" x14ac:dyDescent="0.2">
      <c r="A17" s="11"/>
      <c r="B17" s="17">
        <v>5</v>
      </c>
      <c r="C17" s="103" t="str">
        <f>IF(ISNA(VLOOKUP(16,Identification!$A$36:$K$100,4,FALSE)),"",VLOOKUP(16,Identification!$A$36:$K$100,4,FALSE))</f>
        <v/>
      </c>
      <c r="D17" s="103"/>
      <c r="E17" s="103" t="str">
        <f>IF(ISNA(VLOOKUP(16,Identification!$B$36:$K$100,3,FALSE)),"",VLOOKUP(16,Identification!$B$36:$K$100,3,FALSE))</f>
        <v/>
      </c>
      <c r="F17" s="103"/>
      <c r="G17" s="3" t="str">
        <f>IF(ISNA(VLOOKUP(16,Identification!$C$36:$K$100,2,FALSE)),"",VLOOKUP(16,Identification!$C$36:$K$100,2,FALSE))</f>
        <v/>
      </c>
      <c r="H17" s="95"/>
      <c r="I17" s="95"/>
      <c r="J17" s="95"/>
    </row>
    <row r="18" spans="1:10" ht="15" customHeight="1" x14ac:dyDescent="0.2">
      <c r="A18" s="18"/>
      <c r="B18" s="18"/>
      <c r="C18" s="18"/>
      <c r="D18" s="11"/>
      <c r="E18" s="11"/>
      <c r="F18" s="11"/>
      <c r="G18" s="11"/>
      <c r="H18" s="11"/>
      <c r="I18" s="11"/>
      <c r="J18" s="11"/>
    </row>
    <row r="19" spans="1:10" ht="15" customHeight="1" x14ac:dyDescent="0.2">
      <c r="A19" s="18"/>
      <c r="B19" s="69" t="str">
        <f>VLOOKUP("Analysis_Indepth",Hidden_Translations!$B$11:$K$1045,Hidden_Translations!$C$8,FALSE)</f>
        <v>In-depth analysis of your NEBs</v>
      </c>
      <c r="C19" s="70"/>
      <c r="D19" s="70"/>
      <c r="E19" s="70"/>
      <c r="F19" s="70"/>
      <c r="G19" s="69"/>
      <c r="H19" s="11"/>
      <c r="I19" s="11"/>
      <c r="J19" s="11"/>
    </row>
    <row r="20" spans="1:10" ht="15" customHeight="1" x14ac:dyDescent="0.2">
      <c r="A20" s="18"/>
      <c r="B20" s="18"/>
      <c r="C20" s="18"/>
      <c r="D20" s="103"/>
      <c r="E20" s="103"/>
      <c r="F20" s="103"/>
      <c r="G20" s="103"/>
      <c r="H20" s="3"/>
      <c r="I20" s="11"/>
      <c r="J20" s="11"/>
    </row>
    <row r="21" spans="1:10" ht="30" customHeight="1" x14ac:dyDescent="0.2">
      <c r="A21" s="18"/>
      <c r="B21" s="108" t="str">
        <f>VLOOKUP("Analysis_Indepth_Text",Hidden_Translations!$B$11:$K$1045,Hidden_Translations!$C$8,FALSE)</f>
        <v>For your identified and classified NEBs: Please try to assess the parameters in the table below.</v>
      </c>
      <c r="C21" s="108"/>
      <c r="D21" s="108"/>
      <c r="E21" s="108"/>
      <c r="F21" s="108"/>
      <c r="G21" s="108"/>
      <c r="H21" s="3"/>
      <c r="I21" s="14"/>
      <c r="J21" s="11"/>
    </row>
    <row r="22" spans="1:10" ht="30" customHeight="1" x14ac:dyDescent="0.2">
      <c r="A22" s="20"/>
      <c r="B22" s="123" t="str">
        <f>VLOOKUP("Analysis_Indepth_Key",Hidden_Translations!$B$11:$K$1045,Hidden_Translations!$C$8,FALSE)</f>
        <v xml:space="preserve">Key performance indicator (KPI): </v>
      </c>
      <c r="C22" s="123"/>
      <c r="D22" s="103" t="str">
        <f>VLOOKUP("Analysis_Indepth_Key_Text",Hidden_Translations!$B$11:$K$1045,Hidden_Translations!$C$8,FALSE)</f>
        <v xml:space="preserve">KPIs are automatically pasted. Adapt to your own indicators to asses the NEB if necessary (column D).
</v>
      </c>
      <c r="E22" s="103"/>
      <c r="F22" s="103"/>
      <c r="G22" s="103"/>
      <c r="H22" s="17"/>
      <c r="I22" s="17"/>
      <c r="J22" s="3"/>
    </row>
    <row r="23" spans="1:10" ht="15" customHeight="1" x14ac:dyDescent="0.2">
      <c r="A23" s="2"/>
      <c r="B23" s="2"/>
      <c r="C23" s="2"/>
      <c r="D23" s="17"/>
      <c r="E23" s="17"/>
      <c r="F23" s="17"/>
      <c r="G23" s="17"/>
      <c r="H23" s="17"/>
      <c r="I23" s="17"/>
      <c r="J23" s="17"/>
    </row>
    <row r="24" spans="1:10" ht="15" customHeight="1" x14ac:dyDescent="0.2">
      <c r="A24" s="20"/>
      <c r="B24" s="123" t="str">
        <f>VLOOKUP("Analysis_Indepth_Data",Hidden_Translations!$B$11:$K$1045,Hidden_Translations!$C$8,FALSE)</f>
        <v>Data source for indicator:</v>
      </c>
      <c r="C24" s="123"/>
      <c r="D24" s="103" t="str">
        <f>VLOOKUP("Analysis_Indepth_Data_Text",Hidden_Translations!$B$11:$K$1045,Hidden_Translations!$C$8,FALSE)</f>
        <v xml:space="preserve">Indicate the source of the data in the company, e.g. department (column E). </v>
      </c>
      <c r="E24" s="103"/>
      <c r="F24" s="103"/>
      <c r="G24" s="103"/>
      <c r="H24" s="17"/>
      <c r="I24" s="17"/>
      <c r="J24" s="17"/>
    </row>
    <row r="25" spans="1:10" ht="15" customHeight="1" x14ac:dyDescent="0.2">
      <c r="A25" s="2"/>
      <c r="B25" s="2"/>
      <c r="C25" s="2"/>
      <c r="D25" s="25"/>
      <c r="E25" s="11"/>
      <c r="F25" s="11"/>
      <c r="G25" s="11"/>
      <c r="H25" s="11"/>
      <c r="I25" s="11"/>
      <c r="J25" s="11"/>
    </row>
    <row r="26" spans="1:10" ht="15" customHeight="1" x14ac:dyDescent="0.2">
      <c r="A26" s="20"/>
      <c r="B26" s="123" t="str">
        <f>VLOOKUP("Analysis_Indepth_Impacts",Hidden_Translations!$B$11:$K$1045,Hidden_Translations!$C$8,FALSE)</f>
        <v>Expected impacts:</v>
      </c>
      <c r="C26" s="123"/>
      <c r="D26" s="103" t="str">
        <f>VLOOKUP("Analysis_Indepth_Impacts_Text1",Hidden_Translations!$B$11:$K$1045,Hidden_Translations!$C$8,FALSE)</f>
        <v xml:space="preserve">Indicate the impact of the NEB in qualitative or monetary terms if possible (column F).
</v>
      </c>
      <c r="E26" s="103"/>
      <c r="F26" s="103"/>
      <c r="G26" s="103"/>
      <c r="H26" s="17"/>
      <c r="I26" s="17"/>
      <c r="J26" s="3"/>
    </row>
    <row r="27" spans="1:10" ht="15" customHeight="1" x14ac:dyDescent="0.2">
      <c r="A27" s="18"/>
      <c r="B27" s="44"/>
      <c r="C27" s="44"/>
      <c r="D27" s="108" t="str">
        <f>VLOOKUP("Analysis_Indepth_Impacts_Text2",Hidden_Translations!$B$11:$K$1045,Hidden_Translations!$C$8,FALSE)</f>
        <v>Indicate if and how other stages of the dairy supply chain/ other partners do also profit from the NEB (column G).</v>
      </c>
      <c r="E27" s="108"/>
      <c r="F27" s="108"/>
      <c r="G27" s="108"/>
      <c r="H27" s="3"/>
      <c r="I27" s="14"/>
      <c r="J27" s="95"/>
    </row>
    <row r="28" spans="1:10" ht="30" customHeight="1" x14ac:dyDescent="0.2">
      <c r="A28" s="18"/>
      <c r="B28" s="18"/>
      <c r="C28" s="18"/>
      <c r="D28" s="17"/>
      <c r="E28" s="17"/>
      <c r="F28" s="17"/>
      <c r="G28" s="17"/>
      <c r="H28" s="3"/>
      <c r="I28" s="11"/>
      <c r="J28" s="95"/>
    </row>
    <row r="29" spans="1:10" ht="75" customHeight="1" x14ac:dyDescent="0.2">
      <c r="A29" s="95"/>
      <c r="B29" s="119" t="str">
        <f>VLOOKUP("Analysis_Area_Costs",Hidden_Translations!$B$11:$K$1045,Hidden_Translations!$C$8,FALSE)</f>
        <v>Area: COSTS</v>
      </c>
      <c r="C29" s="67" t="str">
        <f>C12</f>
        <v>NEBs for cost decrease</v>
      </c>
      <c r="D29" s="68" t="str">
        <f>VLOOKUP("Analysis_Area_Costs_Key",Hidden_Translations!$B$11:$K$1045,Hidden_Translations!$C$8,FALSE)</f>
        <v>Key performance indicator 
(overwrite if needed)</v>
      </c>
      <c r="E29" s="68" t="str">
        <f>VLOOKUP("Analysis_Area_Costs_Data",Hidden_Translations!$B$11:$K$1045,Hidden_Translations!$C$8,FALSE)</f>
        <v>Data source for indicator
(e.g. company department)</v>
      </c>
      <c r="F29" s="68" t="str">
        <f>VLOOKUP("Analysis_Area_Costs_Impact1",Hidden_Translations!$B$11:$K$1045,Hidden_Translations!$C$8,FALSE)</f>
        <v>Expected impact
 (e.g. in terms of Euro savings)</v>
      </c>
      <c r="G29" s="89" t="str">
        <f>VLOOKUP("Analysis_Area_Costs_Impact2",Hidden_Translations!$B$11:$K$1045,Hidden_Translations!$C$8,FALSE)</f>
        <v>Expected impact on others in the dairy supply chain</v>
      </c>
      <c r="H29" s="39"/>
      <c r="I29" s="39"/>
      <c r="J29" s="95"/>
    </row>
    <row r="30" spans="1:10" ht="75" customHeight="1" x14ac:dyDescent="0.2">
      <c r="A30" s="95"/>
      <c r="B30" s="119"/>
      <c r="C30" s="17" t="str">
        <f>C13</f>
        <v/>
      </c>
      <c r="D30" s="59" t="str">
        <f>IF(ISNA(VLOOKUP(1,Identification!$A$36:$F$100,6,FALSE)),"",VLOOKUP(1,Identification!$A$36:$F$100,6,FALSE))</f>
        <v/>
      </c>
      <c r="E30" s="63"/>
      <c r="F30" s="59"/>
      <c r="G30" s="96"/>
      <c r="H30" s="39"/>
      <c r="I30" s="95"/>
      <c r="J30" s="95"/>
    </row>
    <row r="31" spans="1:10" ht="75" customHeight="1" x14ac:dyDescent="0.2">
      <c r="A31" s="95"/>
      <c r="B31" s="119"/>
      <c r="C31" s="17" t="str">
        <f t="shared" ref="C31:C34" si="0">C14</f>
        <v/>
      </c>
      <c r="D31" s="59" t="str">
        <f>IF(ISNA(VLOOKUP(2,Identification!$A$36:$F$100,6,FALSE)),"",VLOOKUP(2,Identification!$A$36:$F$100,6,FALSE))</f>
        <v/>
      </c>
      <c r="E31" s="59"/>
      <c r="F31" s="59"/>
      <c r="G31" s="96"/>
      <c r="H31" s="95"/>
      <c r="I31" s="95"/>
      <c r="J31" s="95"/>
    </row>
    <row r="32" spans="1:10" ht="75" customHeight="1" x14ac:dyDescent="0.2">
      <c r="A32" s="95"/>
      <c r="B32" s="119"/>
      <c r="C32" s="17" t="str">
        <f>C15</f>
        <v/>
      </c>
      <c r="D32" s="59" t="str">
        <f>IF(ISNA(VLOOKUP(4,Identification!$A$36:$F$100,6,FALSE)),"",VLOOKUP(4,Identification!$A$36:$F$100,6,FALSE))</f>
        <v/>
      </c>
      <c r="E32" s="59"/>
      <c r="F32" s="59"/>
      <c r="G32" s="96"/>
      <c r="H32" s="95"/>
      <c r="I32" s="95"/>
      <c r="J32" s="95"/>
    </row>
    <row r="33" spans="1:10" ht="75" customHeight="1" x14ac:dyDescent="0.2">
      <c r="A33" s="95"/>
      <c r="B33" s="119"/>
      <c r="C33" s="17" t="str">
        <f>C16</f>
        <v/>
      </c>
      <c r="D33" s="59" t="str">
        <f>IF(ISNA(VLOOKUP(8,Identification!$A$36:$F$100,6,FALSE)),"",VLOOKUP(8,Identification!$A$36:$F$100,6,FALSE))</f>
        <v/>
      </c>
      <c r="E33" s="59"/>
      <c r="F33" s="59"/>
      <c r="G33" s="96"/>
      <c r="H33" s="95"/>
      <c r="I33" s="95"/>
      <c r="J33" s="95"/>
    </row>
    <row r="34" spans="1:10" ht="75" customHeight="1" x14ac:dyDescent="0.2">
      <c r="A34" s="95"/>
      <c r="B34" s="119"/>
      <c r="C34" s="17" t="str">
        <f t="shared" si="0"/>
        <v/>
      </c>
      <c r="D34" s="59" t="str">
        <f>IF(ISNA(VLOOKUP(16,Identification!$A$36:$F$100,6,FALSE)),"",VLOOKUP(16,Identification!$A$36:$F$100,6,FALSE))</f>
        <v/>
      </c>
      <c r="E34" s="59"/>
      <c r="F34" s="64"/>
      <c r="G34" s="96"/>
      <c r="H34" s="95"/>
      <c r="I34" s="95"/>
      <c r="J34" s="95"/>
    </row>
    <row r="35" spans="1:10" ht="45" customHeight="1" x14ac:dyDescent="0.2">
      <c r="A35" s="95"/>
      <c r="B35" s="36"/>
      <c r="C35" s="37"/>
      <c r="D35" s="37"/>
      <c r="E35" s="40"/>
      <c r="F35" s="40"/>
      <c r="G35" s="97"/>
      <c r="H35" s="95"/>
      <c r="I35" s="95"/>
      <c r="J35" s="95"/>
    </row>
    <row r="36" spans="1:10" ht="75" customHeight="1" x14ac:dyDescent="0.2">
      <c r="A36" s="95"/>
      <c r="B36" s="119" t="str">
        <f>VLOOKUP("Analysis_Area_Value",Hidden_Translations!$B$11:$K$1045,Hidden_Translations!$C$8,FALSE)</f>
        <v>Area: VALUE PROPOSITION</v>
      </c>
      <c r="C36" s="68" t="str">
        <f>E12</f>
        <v>NEBs for value proposition increase</v>
      </c>
      <c r="D36" s="68" t="str">
        <f>D29</f>
        <v>Key performance indicator 
(overwrite if needed)</v>
      </c>
      <c r="E36" s="68" t="str">
        <f>E29</f>
        <v>Data source for indicator
(e.g. company department)</v>
      </c>
      <c r="F36" s="68" t="str">
        <f>F29</f>
        <v>Expected impact
 (e.g. in terms of Euro savings)</v>
      </c>
      <c r="G36" s="89" t="str">
        <f>G29</f>
        <v>Expected impact on others in the dairy supply chain</v>
      </c>
      <c r="H36" s="95"/>
      <c r="I36" s="95"/>
      <c r="J36" s="95"/>
    </row>
    <row r="37" spans="1:10" ht="75" customHeight="1" x14ac:dyDescent="0.2">
      <c r="A37" s="95"/>
      <c r="B37" s="119"/>
      <c r="C37" s="17" t="str">
        <f>E13</f>
        <v/>
      </c>
      <c r="D37" s="59" t="str">
        <f>IF(ISNA(VLOOKUP(1,Identification!$B$36:$F$100,5,FALSE)),"",VLOOKUP(1,Identification!$B$36:$F$100,5,FALSE))</f>
        <v/>
      </c>
      <c r="E37" s="59"/>
      <c r="F37" s="59"/>
      <c r="G37" s="96"/>
      <c r="H37" s="95"/>
      <c r="I37" s="95"/>
      <c r="J37" s="95"/>
    </row>
    <row r="38" spans="1:10" ht="75" customHeight="1" x14ac:dyDescent="0.2">
      <c r="A38" s="95"/>
      <c r="B38" s="119"/>
      <c r="C38" s="17" t="str">
        <f t="shared" ref="C38:C41" si="1">E14</f>
        <v/>
      </c>
      <c r="D38" s="59" t="str">
        <f>IF(ISNA(VLOOKUP(2,Identification!$B$36:$F$100,5,FALSE)),"",VLOOKUP(2,Identification!$B$36:$F$100,5,FALSE))</f>
        <v/>
      </c>
      <c r="E38" s="59"/>
      <c r="F38" s="59"/>
      <c r="G38" s="96"/>
      <c r="H38" s="95"/>
      <c r="I38" s="95"/>
      <c r="J38" s="95"/>
    </row>
    <row r="39" spans="1:10" ht="75" customHeight="1" x14ac:dyDescent="0.2">
      <c r="A39" s="95"/>
      <c r="B39" s="119"/>
      <c r="C39" s="17" t="str">
        <f t="shared" si="1"/>
        <v/>
      </c>
      <c r="D39" s="59" t="str">
        <f>IF(ISNA(VLOOKUP(4,Identification!$B$36:$F$100,5,FALSE)),"",VLOOKUP(4,Identification!$B$36:$F$100,5,FALSE))</f>
        <v/>
      </c>
      <c r="E39" s="59"/>
      <c r="F39" s="59"/>
      <c r="G39" s="96"/>
      <c r="H39" s="95"/>
      <c r="I39" s="95"/>
      <c r="J39" s="95"/>
    </row>
    <row r="40" spans="1:10" ht="75" customHeight="1" x14ac:dyDescent="0.2">
      <c r="A40" s="95"/>
      <c r="B40" s="119"/>
      <c r="C40" s="17" t="str">
        <f t="shared" si="1"/>
        <v/>
      </c>
      <c r="D40" s="59" t="str">
        <f>IF(ISNA(VLOOKUP(8,Identification!$B$36:$F$100,5,FALSE)),"",VLOOKUP(8,Identification!$B$36:$F$100,5,FALSE))</f>
        <v/>
      </c>
      <c r="E40" s="59"/>
      <c r="F40" s="59"/>
      <c r="G40" s="96"/>
      <c r="H40" s="95"/>
      <c r="I40" s="95"/>
      <c r="J40" s="95"/>
    </row>
    <row r="41" spans="1:10" ht="75" customHeight="1" x14ac:dyDescent="0.2">
      <c r="A41" s="95"/>
      <c r="B41" s="119"/>
      <c r="C41" s="17" t="str">
        <f t="shared" si="1"/>
        <v/>
      </c>
      <c r="D41" s="59" t="str">
        <f>IF(ISNA(VLOOKUP(16,Identification!$B$36:$F$100,5,FALSE)),"",VLOOKUP(16,Identification!$B$36:$F$100,5,FALSE))</f>
        <v/>
      </c>
      <c r="E41" s="59"/>
      <c r="F41" s="59"/>
      <c r="G41" s="96"/>
      <c r="H41" s="95"/>
      <c r="I41" s="95"/>
      <c r="J41" s="95"/>
    </row>
    <row r="42" spans="1:10" ht="45" customHeight="1" x14ac:dyDescent="0.2">
      <c r="A42" s="95"/>
      <c r="B42" s="36"/>
      <c r="C42" s="42"/>
      <c r="D42" s="42"/>
      <c r="E42" s="41"/>
      <c r="F42" s="41"/>
      <c r="G42" s="97"/>
      <c r="H42" s="95"/>
      <c r="I42" s="95"/>
      <c r="J42" s="95"/>
    </row>
    <row r="43" spans="1:10" ht="75" customHeight="1" x14ac:dyDescent="0.2">
      <c r="A43" s="95"/>
      <c r="B43" s="119" t="str">
        <f>VLOOKUP("Analysis_Area_Risks",Hidden_Translations!$B$11:$K$1045,Hidden_Translations!$C$8,FALSE)</f>
        <v>Area: RISKS</v>
      </c>
      <c r="C43" s="67" t="str">
        <f>G12</f>
        <v>NEBs for risk reduction</v>
      </c>
      <c r="D43" s="68" t="str">
        <f>D29</f>
        <v>Key performance indicator 
(overwrite if needed)</v>
      </c>
      <c r="E43" s="68" t="str">
        <f>E29</f>
        <v>Data source for indicator
(e.g. company department)</v>
      </c>
      <c r="F43" s="68" t="str">
        <f>F29</f>
        <v>Expected impact
 (e.g. in terms of Euro savings)</v>
      </c>
      <c r="G43" s="89" t="str">
        <f>G29</f>
        <v>Expected impact on others in the dairy supply chain</v>
      </c>
      <c r="H43" s="95"/>
      <c r="I43" s="95"/>
      <c r="J43" s="95"/>
    </row>
    <row r="44" spans="1:10" ht="75" customHeight="1" x14ac:dyDescent="0.2">
      <c r="A44" s="95"/>
      <c r="B44" s="119"/>
      <c r="C44" s="17" t="str">
        <f>G13</f>
        <v/>
      </c>
      <c r="D44" s="59" t="str">
        <f>IF(ISNA(VLOOKUP(1,Identification!$C$36:$F$100,4,FALSE)),"",VLOOKUP(1,Identification!$C$36:$F$100,4,FALSE))</f>
        <v/>
      </c>
      <c r="E44" s="59"/>
      <c r="F44" s="59"/>
      <c r="G44" s="96"/>
      <c r="H44" s="95"/>
      <c r="I44" s="95"/>
      <c r="J44" s="95"/>
    </row>
    <row r="45" spans="1:10" ht="75" customHeight="1" x14ac:dyDescent="0.2">
      <c r="A45" s="95"/>
      <c r="B45" s="119"/>
      <c r="C45" s="17" t="str">
        <f t="shared" ref="C45:C48" si="2">G14</f>
        <v/>
      </c>
      <c r="D45" s="59" t="str">
        <f>IF(ISNA(VLOOKUP(2,Identification!$C$36:$F$100,4,FALSE)),"",VLOOKUP(2,Identification!$C$36:$F$100,4,FALSE))</f>
        <v/>
      </c>
      <c r="E45" s="59"/>
      <c r="F45" s="59"/>
      <c r="G45" s="96"/>
      <c r="H45" s="95"/>
      <c r="I45" s="95"/>
      <c r="J45" s="95"/>
    </row>
    <row r="46" spans="1:10" ht="75" customHeight="1" x14ac:dyDescent="0.2">
      <c r="A46" s="95"/>
      <c r="B46" s="119"/>
      <c r="C46" s="17" t="str">
        <f t="shared" si="2"/>
        <v/>
      </c>
      <c r="D46" s="59" t="str">
        <f>IF(ISNA(VLOOKUP(4,Identification!$C$36:$F$100,4,FALSE)),"",VLOOKUP(4,Identification!$C$36:$F$100,4,FALSE))</f>
        <v/>
      </c>
      <c r="E46" s="59"/>
      <c r="F46" s="59"/>
      <c r="G46" s="96"/>
      <c r="H46" s="95"/>
      <c r="I46" s="95"/>
    </row>
    <row r="47" spans="1:10" ht="75" customHeight="1" x14ac:dyDescent="0.2">
      <c r="A47" s="95"/>
      <c r="B47" s="119"/>
      <c r="C47" s="17" t="str">
        <f t="shared" si="2"/>
        <v/>
      </c>
      <c r="D47" s="59" t="str">
        <f>IF(ISNA(VLOOKUP(8,Identification!$C$36:$F$100,4,FALSE)),"",VLOOKUP(8,Identification!$C$36:$F$100,4,FALSE))</f>
        <v/>
      </c>
      <c r="E47" s="59"/>
      <c r="F47" s="59"/>
      <c r="G47" s="96"/>
      <c r="H47" s="95"/>
      <c r="I47" s="95"/>
    </row>
    <row r="48" spans="1:10" ht="75" customHeight="1" x14ac:dyDescent="0.2">
      <c r="A48" s="95"/>
      <c r="B48" s="119"/>
      <c r="C48" s="17" t="str">
        <f t="shared" si="2"/>
        <v/>
      </c>
      <c r="D48" s="59" t="str">
        <f>IF(ISNA(VLOOKUP(16,Identification!$C$36:$F$100,4,FALSE)),"",VLOOKUP(16,Identification!$C$36:$F$100,4,FALSE))</f>
        <v/>
      </c>
      <c r="E48" s="59"/>
      <c r="F48" s="59"/>
      <c r="G48" s="96"/>
      <c r="H48" s="95"/>
      <c r="I48" s="95"/>
    </row>
    <row r="49" spans="1:9" x14ac:dyDescent="0.2">
      <c r="A49" s="95"/>
      <c r="B49" s="95"/>
      <c r="C49" s="95"/>
      <c r="D49" s="95"/>
      <c r="E49" s="95"/>
      <c r="F49" s="95"/>
      <c r="G49" s="95"/>
      <c r="H49" s="95"/>
      <c r="I49" s="95"/>
    </row>
    <row r="50" spans="1:9" x14ac:dyDescent="0.2">
      <c r="A50" s="95"/>
      <c r="B50" s="95"/>
      <c r="C50" s="95"/>
      <c r="D50" s="95"/>
      <c r="E50" s="95"/>
      <c r="F50" s="95"/>
      <c r="G50" s="95"/>
      <c r="H50" s="95"/>
      <c r="I50" s="95"/>
    </row>
  </sheetData>
  <sheetProtection algorithmName="SHA-512" hashValue="rrfCrTgcj/JsLBdZJApPki5hZ2kkT2Fc5sKvovFpeTmuXyJnAHpARZkSOn5tBhkZQsUP+nFtf1KPNaZ3pQw23w==" saltValue="AyFG0FzqDziW28eJhSSmcg==" spinCount="100000" sheet="1" formatColumns="0" selectLockedCells="1"/>
  <mergeCells count="26">
    <mergeCell ref="D26:G26"/>
    <mergeCell ref="D27:G27"/>
    <mergeCell ref="B22:C22"/>
    <mergeCell ref="B24:C24"/>
    <mergeCell ref="B26:C26"/>
    <mergeCell ref="B6:G6"/>
    <mergeCell ref="C12:D12"/>
    <mergeCell ref="E12:F12"/>
    <mergeCell ref="C13:D13"/>
    <mergeCell ref="E13:F13"/>
    <mergeCell ref="D20:G20"/>
    <mergeCell ref="B29:B34"/>
    <mergeCell ref="B36:B41"/>
    <mergeCell ref="B43:B48"/>
    <mergeCell ref="B10:G10"/>
    <mergeCell ref="B21:G21"/>
    <mergeCell ref="C15:D15"/>
    <mergeCell ref="E15:F15"/>
    <mergeCell ref="C16:D16"/>
    <mergeCell ref="E16:F16"/>
    <mergeCell ref="C17:D17"/>
    <mergeCell ref="E17:F17"/>
    <mergeCell ref="C14:D14"/>
    <mergeCell ref="E14:F14"/>
    <mergeCell ref="D22:G22"/>
    <mergeCell ref="D24:G24"/>
  </mergeCells>
  <conditionalFormatting sqref="B13:C17">
    <cfRule type="expression" dxfId="15" priority="40">
      <formula>MOD(ROW(),2)=0</formula>
    </cfRule>
  </conditionalFormatting>
  <conditionalFormatting sqref="C30:C34">
    <cfRule type="expression" dxfId="14" priority="39">
      <formula>MOD(ROW(),2)=0</formula>
    </cfRule>
  </conditionalFormatting>
  <conditionalFormatting sqref="C37:C41">
    <cfRule type="expression" dxfId="13" priority="23">
      <formula>MOD(ROW(),2)=0</formula>
    </cfRule>
  </conditionalFormatting>
  <conditionalFormatting sqref="C44:C48">
    <cfRule type="expression" dxfId="12" priority="7">
      <formula>MOD(ROW(),2)=0</formula>
    </cfRule>
  </conditionalFormatting>
  <conditionalFormatting sqref="E13:E17">
    <cfRule type="expression" dxfId="11" priority="43">
      <formula>MOD(ROW(),2)=0</formula>
    </cfRule>
  </conditionalFormatting>
  <conditionalFormatting sqref="G13:G17">
    <cfRule type="expression" dxfId="10" priority="41">
      <formula>MOD(ROW(),2)=0</formula>
    </cfRule>
  </conditionalFormatting>
  <dataValidations count="1">
    <dataValidation type="list" allowBlank="1" showInputMessage="1" showErrorMessage="1" sqref="G42" xr:uid="{00000000-0002-0000-0200-000000000000}">
      <formula1>$C$42:$C$46</formula1>
    </dataValidation>
  </dataValidations>
  <pageMargins left="0.7" right="0.7" top="0.78740157499999996" bottom="0.78740157499999996" header="0.3" footer="0.3"/>
  <pageSetup paperSize="9" scale="45" orientation="portrait" r:id="rId1"/>
  <rowBreaks count="1" manualBreakCount="1">
    <brk id="35"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47" operator="containsText" id="{6328D722-0AC8-4C10-A2A6-A9E8C0E1EC90}">
            <xm:f>NOT(ISERROR(SEARCH("rarely",G30)))</xm:f>
            <xm:f>"rarely"</xm:f>
            <x14:dxf>
              <fill>
                <patternFill>
                  <bgColor theme="7" tint="0.59996337778862885"/>
                </patternFill>
              </fill>
            </x14:dxf>
          </x14:cfRule>
          <x14:cfRule type="containsText" priority="48" operator="containsText" id="{9CBBD5C7-5FAF-4DDA-9521-B448EB18694B}">
            <xm:f>NOT(ISERROR(SEARCH("not at all",G30)))</xm:f>
            <xm:f>"not at all"</xm:f>
            <x14:dxf>
              <fill>
                <patternFill>
                  <bgColor rgb="FFFF7D7D"/>
                </patternFill>
              </fill>
            </x14:dxf>
          </x14:cfRule>
          <x14:cfRule type="containsText" priority="49" operator="containsText" id="{7F0F8041-4CDD-4145-8633-6A11D230B6F7}">
            <xm:f>NOT(ISERROR(SEARCH("strongly",G30)))</xm:f>
            <xm:f>"strongly"</xm:f>
            <x14:dxf>
              <font>
                <color auto="1"/>
              </font>
              <fill>
                <patternFill>
                  <bgColor theme="9"/>
                </patternFill>
              </fill>
            </x14:dxf>
          </x14:cfRule>
          <xm:sqref>G30:G35</xm:sqref>
        </x14:conditionalFormatting>
        <x14:conditionalFormatting xmlns:xm="http://schemas.microsoft.com/office/excel/2006/main">
          <x14:cfRule type="containsText" priority="4" operator="containsText" id="{94117879-FA00-4DC7-BF36-E7DE45D855D5}">
            <xm:f>NOT(ISERROR(SEARCH("rarely",G37)))</xm:f>
            <xm:f>"rarely"</xm:f>
            <x14:dxf>
              <fill>
                <patternFill>
                  <bgColor theme="7" tint="0.59996337778862885"/>
                </patternFill>
              </fill>
            </x14:dxf>
          </x14:cfRule>
          <x14:cfRule type="containsText" priority="5" operator="containsText" id="{591F9540-4A7B-4B8E-A6AE-7FC323E3E191}">
            <xm:f>NOT(ISERROR(SEARCH("not at all",G37)))</xm:f>
            <xm:f>"not at all"</xm:f>
            <x14:dxf>
              <fill>
                <patternFill>
                  <bgColor rgb="FFFF7D7D"/>
                </patternFill>
              </fill>
            </x14:dxf>
          </x14:cfRule>
          <x14:cfRule type="containsText" priority="6" operator="containsText" id="{ED6E9A31-218B-4F74-997B-0E2369A7A387}">
            <xm:f>NOT(ISERROR(SEARCH("strongly",G37)))</xm:f>
            <xm:f>"strongly"</xm:f>
            <x14:dxf>
              <font>
                <color auto="1"/>
              </font>
              <fill>
                <patternFill>
                  <bgColor theme="9"/>
                </patternFill>
              </fill>
            </x14:dxf>
          </x14:cfRule>
          <xm:sqref>G37:G42</xm:sqref>
        </x14:conditionalFormatting>
        <x14:conditionalFormatting xmlns:xm="http://schemas.microsoft.com/office/excel/2006/main">
          <x14:cfRule type="containsText" priority="1" operator="containsText" id="{E8D23F30-A9AC-4B72-A4A6-C8A51B218322}">
            <xm:f>NOT(ISERROR(SEARCH("rarely",G44)))</xm:f>
            <xm:f>"rarely"</xm:f>
            <x14:dxf>
              <fill>
                <patternFill>
                  <bgColor theme="7" tint="0.59996337778862885"/>
                </patternFill>
              </fill>
            </x14:dxf>
          </x14:cfRule>
          <x14:cfRule type="containsText" priority="2" operator="containsText" id="{37DA696F-ED8F-4A95-A301-B43B8DE1B6ED}">
            <xm:f>NOT(ISERROR(SEARCH("not at all",G44)))</xm:f>
            <xm:f>"not at all"</xm:f>
            <x14:dxf>
              <fill>
                <patternFill>
                  <bgColor rgb="FFFF7D7D"/>
                </patternFill>
              </fill>
            </x14:dxf>
          </x14:cfRule>
          <x14:cfRule type="containsText" priority="3" operator="containsText" id="{68C637E1-0181-4AAB-A547-F37EE3F4172A}">
            <xm:f>NOT(ISERROR(SEARCH("strongly",G44)))</xm:f>
            <xm:f>"strongly"</xm:f>
            <x14:dxf>
              <font>
                <color auto="1"/>
              </font>
              <fill>
                <patternFill>
                  <bgColor theme="9"/>
                </patternFill>
              </fill>
            </x14:dxf>
          </x14:cfRule>
          <xm:sqref>G44:G48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Hidden_Lists!$C$35:$C$38</xm:f>
          </x14:formula1>
          <xm:sqref>G30:G35 G37:G41 G44:G48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B2:J38"/>
  <sheetViews>
    <sheetView workbookViewId="0"/>
  </sheetViews>
  <sheetFormatPr baseColWidth="10" defaultColWidth="11" defaultRowHeight="15" x14ac:dyDescent="0.2"/>
  <cols>
    <col min="1" max="1" width="3.6640625" style="2" customWidth="1"/>
    <col min="2" max="2" width="15.6640625" style="2" customWidth="1"/>
    <col min="3" max="10" width="10.6640625" style="2" customWidth="1"/>
    <col min="11" max="16384" width="11" style="2"/>
  </cols>
  <sheetData>
    <row r="2" spans="2:10" ht="19" x14ac:dyDescent="0.2">
      <c r="B2" s="50" t="str">
        <f>VLOOKUP("General_Header",Hidden_Translations!$B$11:$J$129,Hidden_Translations!$C$8,FALSE)</f>
        <v>Boosting Energy Transition of the Dairy value chain (BETTED project)</v>
      </c>
      <c r="C2" s="24"/>
      <c r="D2" s="24"/>
      <c r="E2" s="24"/>
      <c r="F2" s="24"/>
      <c r="G2" s="24"/>
      <c r="H2" s="24"/>
      <c r="I2" s="24"/>
      <c r="J2" s="24"/>
    </row>
    <row r="4" spans="2:10" ht="19" x14ac:dyDescent="0.2">
      <c r="B4" s="29" t="s">
        <v>10</v>
      </c>
      <c r="C4" s="29"/>
      <c r="D4" s="29"/>
      <c r="E4" s="29"/>
      <c r="F4" s="29"/>
      <c r="G4" s="29"/>
      <c r="H4" s="29"/>
      <c r="I4" s="29"/>
      <c r="J4" s="29"/>
    </row>
    <row r="6" spans="2:10" ht="15.75" customHeight="1" x14ac:dyDescent="0.2">
      <c r="B6" s="124" t="s">
        <v>11</v>
      </c>
      <c r="C6" s="124"/>
      <c r="D6" s="124"/>
      <c r="E6" s="124"/>
      <c r="F6" s="124"/>
      <c r="G6" s="124"/>
      <c r="H6" s="124"/>
      <c r="I6" s="124"/>
      <c r="J6" s="124"/>
    </row>
    <row r="8" spans="2:10" x14ac:dyDescent="0.2">
      <c r="B8" s="6"/>
    </row>
    <row r="10" spans="2:10" x14ac:dyDescent="0.2">
      <c r="B10" s="51" t="s">
        <v>12</v>
      </c>
      <c r="C10" s="51" t="s">
        <v>13</v>
      </c>
      <c r="D10" s="51"/>
      <c r="E10" s="51"/>
      <c r="F10" s="51"/>
      <c r="G10" s="51"/>
      <c r="H10" s="51"/>
      <c r="I10" s="51"/>
      <c r="J10" s="51"/>
    </row>
    <row r="12" spans="2:10" ht="15.75" customHeight="1" x14ac:dyDescent="0.2">
      <c r="B12" s="7" t="s">
        <v>14</v>
      </c>
      <c r="C12" s="2" t="s">
        <v>0</v>
      </c>
      <c r="D12" s="8">
        <v>1</v>
      </c>
      <c r="F12" s="8"/>
      <c r="G12" s="8"/>
      <c r="H12" s="8"/>
      <c r="I12" s="8"/>
      <c r="J12" s="9"/>
    </row>
    <row r="13" spans="2:10" x14ac:dyDescent="0.2">
      <c r="C13" s="2" t="s">
        <v>15</v>
      </c>
      <c r="D13" s="2">
        <v>2</v>
      </c>
    </row>
    <row r="14" spans="2:10" x14ac:dyDescent="0.2">
      <c r="C14" s="2" t="s">
        <v>16</v>
      </c>
      <c r="D14" s="2">
        <v>3</v>
      </c>
    </row>
    <row r="15" spans="2:10" x14ac:dyDescent="0.2">
      <c r="C15" s="2" t="s">
        <v>17</v>
      </c>
      <c r="D15" s="2">
        <v>4</v>
      </c>
    </row>
    <row r="16" spans="2:10" x14ac:dyDescent="0.2">
      <c r="C16" s="93" t="s">
        <v>18</v>
      </c>
      <c r="D16" s="2">
        <v>5</v>
      </c>
    </row>
    <row r="17" spans="2:7" x14ac:dyDescent="0.2">
      <c r="C17" s="2" t="s">
        <v>19</v>
      </c>
      <c r="D17" s="2">
        <v>6</v>
      </c>
    </row>
    <row r="18" spans="2:7" x14ac:dyDescent="0.2">
      <c r="C18" s="2" t="s">
        <v>20</v>
      </c>
      <c r="D18" s="2">
        <v>7</v>
      </c>
    </row>
    <row r="19" spans="2:7" x14ac:dyDescent="0.2">
      <c r="C19" s="2" t="s">
        <v>21</v>
      </c>
      <c r="D19" s="2">
        <v>8</v>
      </c>
    </row>
    <row r="22" spans="2:7" ht="16" x14ac:dyDescent="0.2">
      <c r="B22" s="47" t="s">
        <v>22</v>
      </c>
      <c r="C22" s="47"/>
      <c r="D22" s="19"/>
      <c r="E22" s="43"/>
    </row>
    <row r="23" spans="2:7" ht="16" x14ac:dyDescent="0.2">
      <c r="B23" s="19"/>
      <c r="C23" s="47" t="s">
        <v>23</v>
      </c>
      <c r="D23" s="19"/>
    </row>
    <row r="24" spans="2:7" ht="16" x14ac:dyDescent="0.2">
      <c r="B24" s="19"/>
      <c r="C24" s="47"/>
      <c r="D24" s="19"/>
    </row>
    <row r="25" spans="2:7" ht="16" x14ac:dyDescent="0.2">
      <c r="B25" s="47" t="str">
        <f>VLOOKUP("Hidden_Lists_Strategic",Hidden_Translations!$B$11:$K$1045,Hidden_Translations!$C$8,FALSE)</f>
        <v>Strategic Importance</v>
      </c>
      <c r="C25" s="19"/>
      <c r="D25" s="19"/>
      <c r="F25" s="2" t="s">
        <v>24</v>
      </c>
    </row>
    <row r="26" spans="2:7" ht="16" x14ac:dyDescent="0.2">
      <c r="B26" s="19"/>
      <c r="C26" s="47" t="str">
        <f>VLOOKUP("Hidden_Lists_Strategic_none",Hidden_Translations!$B$11:$K$1045,Hidden_Translations!$C$8,FALSE)</f>
        <v>none</v>
      </c>
      <c r="D26" s="19"/>
    </row>
    <row r="27" spans="2:7" ht="16" x14ac:dyDescent="0.2">
      <c r="B27" s="19"/>
      <c r="C27" s="47" t="str">
        <f>VLOOKUP("Hidden_Lists_Strategic_low",Hidden_Translations!$B$11:$K$1045,Hidden_Translations!$C$8,FALSE)</f>
        <v>low</v>
      </c>
      <c r="D27" s="19"/>
    </row>
    <row r="28" spans="2:7" ht="16" x14ac:dyDescent="0.2">
      <c r="B28" s="19"/>
      <c r="C28" s="47" t="str">
        <f>VLOOKUP("Hidden_Lists_Strategic_medium",Hidden_Translations!$B$11:$K$1045,Hidden_Translations!$C$8,FALSE)</f>
        <v>medium</v>
      </c>
      <c r="D28" s="19"/>
    </row>
    <row r="29" spans="2:7" ht="16" x14ac:dyDescent="0.2">
      <c r="B29" s="19"/>
      <c r="C29" s="47" t="str">
        <f>VLOOKUP("Hidden_Lists_Strategic_high",Hidden_Translations!$B$11:$K$1045,Hidden_Translations!$C$8,FALSE)</f>
        <v>high</v>
      </c>
      <c r="D29" s="19"/>
    </row>
    <row r="30" spans="2:7" x14ac:dyDescent="0.2">
      <c r="B30" s="19"/>
      <c r="C30" s="19"/>
      <c r="D30" s="19"/>
    </row>
    <row r="31" spans="2:7" x14ac:dyDescent="0.2">
      <c r="B31" s="19" t="str">
        <f>VLOOKUP("Hidden_Lists_Nature",Hidden_Translations!$B$11:$K$1045,Hidden_Translations!$C$8,FALSE)</f>
        <v>Nature of data</v>
      </c>
      <c r="C31" s="19"/>
      <c r="D31" s="19"/>
      <c r="F31" s="2" t="s">
        <v>24</v>
      </c>
    </row>
    <row r="32" spans="2:7" ht="16" x14ac:dyDescent="0.2">
      <c r="B32" s="19"/>
      <c r="C32" s="19" t="str">
        <f>VLOOKUP("Hidden_Lists_Nature_quantitative",Hidden_Translations!$B$11:$K$1045,Hidden_Translations!$C$8,FALSE)</f>
        <v>quantitative</v>
      </c>
      <c r="D32" s="19"/>
      <c r="F32" s="10"/>
      <c r="G32" s="10"/>
    </row>
    <row r="33" spans="2:7" ht="16" x14ac:dyDescent="0.2">
      <c r="B33" s="19"/>
      <c r="C33" s="19" t="str">
        <f>VLOOKUP("Hidden_Lists_Nature_qualitative",Hidden_Translations!$B$11:$K$1045,Hidden_Translations!$C$8,FALSE)</f>
        <v>qualitative</v>
      </c>
      <c r="D33" s="19"/>
      <c r="F33" s="10"/>
      <c r="G33" s="10"/>
    </row>
    <row r="34" spans="2:7" ht="16" x14ac:dyDescent="0.2">
      <c r="B34" s="19"/>
      <c r="C34" s="19"/>
      <c r="D34" s="19"/>
      <c r="E34" s="19"/>
      <c r="F34" s="10"/>
      <c r="G34" s="10"/>
    </row>
    <row r="35" spans="2:7" ht="16" x14ac:dyDescent="0.2">
      <c r="B35" s="19" t="str">
        <f>VLOOKUP("Hidden_Lists_NEB",Hidden_Translations!$B$11:$K$1045,Hidden_Translations!$C$8,FALSE)</f>
        <v>NEB in CSC</v>
      </c>
      <c r="C35" s="1"/>
      <c r="D35" s="19"/>
      <c r="E35" s="19"/>
      <c r="F35" s="2" t="s">
        <v>24</v>
      </c>
      <c r="G35" s="10"/>
    </row>
    <row r="36" spans="2:7" ht="16" x14ac:dyDescent="0.2">
      <c r="B36" s="19"/>
      <c r="C36" s="1" t="str">
        <f>VLOOKUP("Hidden_Lists_NEB_none",Hidden_Translations!$B$11:$K$1045,Hidden_Translations!$C$8,FALSE)</f>
        <v>none</v>
      </c>
      <c r="D36" s="19"/>
      <c r="E36" s="19"/>
    </row>
    <row r="37" spans="2:7" ht="16" x14ac:dyDescent="0.2">
      <c r="B37" s="19"/>
      <c r="C37" s="1" t="str">
        <f>VLOOKUP("Hidden_Lists_NEB_low",Hidden_Translations!$B$11:$K$1045,Hidden_Translations!$C$8,FALSE)</f>
        <v>low</v>
      </c>
      <c r="D37" s="19"/>
      <c r="E37" s="19"/>
    </row>
    <row r="38" spans="2:7" ht="16" x14ac:dyDescent="0.2">
      <c r="B38" s="19"/>
      <c r="C38" s="1" t="str">
        <f>VLOOKUP("Hidden_Lists_NEB_high",Hidden_Translations!$B$11:$K$1045,Hidden_Translations!$C$8,FALSE)</f>
        <v>high</v>
      </c>
      <c r="D38" s="19"/>
      <c r="E38" s="19"/>
    </row>
  </sheetData>
  <mergeCells count="1">
    <mergeCell ref="B6:J6"/>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B2:K262"/>
  <sheetViews>
    <sheetView topLeftCell="A20" zoomScaleNormal="100" workbookViewId="0">
      <pane xSplit="3" topLeftCell="D1" activePane="topRight" state="frozen"/>
      <selection pane="topRight" activeCell="C21" sqref="C21"/>
    </sheetView>
  </sheetViews>
  <sheetFormatPr baseColWidth="10" defaultColWidth="11" defaultRowHeight="15" x14ac:dyDescent="0.2"/>
  <cols>
    <col min="1" max="1" width="3.6640625" style="4" customWidth="1"/>
    <col min="2" max="2" width="25.5" style="2" customWidth="1"/>
    <col min="3" max="3" width="60.6640625" style="2" customWidth="1"/>
    <col min="4" max="4" width="60.6640625" style="3" customWidth="1"/>
    <col min="5" max="11" width="60.6640625" style="4" customWidth="1"/>
    <col min="12" max="16384" width="11" style="4"/>
  </cols>
  <sheetData>
    <row r="2" spans="2:11" ht="19" x14ac:dyDescent="0.2">
      <c r="B2" s="50" t="str">
        <f>VLOOKUP("General_Header",Hidden_Translations!$B$11:$J$129,Hidden_Translations!$C$8,FALSE)</f>
        <v>Boosting Energy Transition of the Dairy value chain (BETTED project)</v>
      </c>
      <c r="C2" s="24"/>
      <c r="D2" s="52"/>
      <c r="E2" s="53"/>
      <c r="F2" s="53"/>
      <c r="G2" s="53"/>
      <c r="H2" s="53"/>
      <c r="I2" s="53"/>
      <c r="J2" s="53"/>
      <c r="K2" s="80"/>
    </row>
    <row r="4" spans="2:11" ht="19" x14ac:dyDescent="0.2">
      <c r="B4" s="29" t="s">
        <v>25</v>
      </c>
      <c r="C4" s="29"/>
      <c r="D4" s="29"/>
      <c r="E4" s="29"/>
      <c r="F4" s="29"/>
      <c r="G4" s="29"/>
      <c r="H4" s="29"/>
      <c r="I4" s="29"/>
      <c r="J4" s="29"/>
      <c r="K4" s="81"/>
    </row>
    <row r="6" spans="2:11" x14ac:dyDescent="0.2">
      <c r="B6" s="125" t="s">
        <v>26</v>
      </c>
      <c r="C6" s="125"/>
      <c r="D6" s="125"/>
      <c r="E6" s="125"/>
      <c r="F6" s="125"/>
      <c r="G6" s="125"/>
      <c r="H6" s="125"/>
      <c r="I6" s="125"/>
      <c r="J6" s="125"/>
      <c r="K6" s="125"/>
    </row>
    <row r="8" spans="2:11" x14ac:dyDescent="0.2">
      <c r="B8" s="57" t="s">
        <v>27</v>
      </c>
      <c r="C8" s="2">
        <f>VLOOKUP(Info!C8,Hidden_Lists!C12:D19,2,FALSE)+1</f>
        <v>2</v>
      </c>
    </row>
    <row r="10" spans="2:11" ht="16" x14ac:dyDescent="0.2">
      <c r="B10" s="51" t="s">
        <v>28</v>
      </c>
      <c r="C10" s="51" t="s">
        <v>0</v>
      </c>
      <c r="D10" s="54" t="s">
        <v>15</v>
      </c>
      <c r="E10" s="51" t="s">
        <v>16</v>
      </c>
      <c r="F10" s="51" t="s">
        <v>17</v>
      </c>
      <c r="G10" s="77" t="s">
        <v>18</v>
      </c>
      <c r="H10" s="51" t="s">
        <v>19</v>
      </c>
      <c r="I10" s="51" t="s">
        <v>20</v>
      </c>
      <c r="J10" s="55" t="s">
        <v>21</v>
      </c>
      <c r="K10" s="79"/>
    </row>
    <row r="11" spans="2:11" ht="16" x14ac:dyDescent="0.2">
      <c r="B11" s="5" t="s">
        <v>29</v>
      </c>
      <c r="C11" s="3" t="s">
        <v>1688</v>
      </c>
      <c r="D11" s="91" t="s">
        <v>30</v>
      </c>
      <c r="E11" s="91" t="s">
        <v>31</v>
      </c>
      <c r="F11" s="91" t="s">
        <v>32</v>
      </c>
      <c r="G11" s="91" t="s">
        <v>33</v>
      </c>
      <c r="H11" s="91" t="s">
        <v>34</v>
      </c>
      <c r="I11" s="91" t="s">
        <v>35</v>
      </c>
      <c r="J11" s="91" t="s">
        <v>36</v>
      </c>
      <c r="K11" s="17"/>
    </row>
    <row r="12" spans="2:11" ht="16" x14ac:dyDescent="0.2">
      <c r="B12" s="45" t="s">
        <v>37</v>
      </c>
      <c r="C12" s="3" t="s">
        <v>1689</v>
      </c>
      <c r="D12" s="48" t="s">
        <v>38</v>
      </c>
      <c r="E12" s="3" t="s">
        <v>39</v>
      </c>
      <c r="F12" s="3" t="s">
        <v>40</v>
      </c>
      <c r="G12" s="3" t="s">
        <v>41</v>
      </c>
      <c r="H12" s="3" t="s">
        <v>42</v>
      </c>
      <c r="I12" s="3" t="s">
        <v>43</v>
      </c>
      <c r="J12" s="3" t="s">
        <v>44</v>
      </c>
      <c r="K12" s="17"/>
    </row>
    <row r="13" spans="2:11" ht="129.75" customHeight="1" x14ac:dyDescent="0.2">
      <c r="B13" s="45" t="s">
        <v>45</v>
      </c>
      <c r="C13" s="3" t="s">
        <v>46</v>
      </c>
      <c r="D13" s="48" t="s">
        <v>47</v>
      </c>
      <c r="E13" s="3" t="s">
        <v>48</v>
      </c>
      <c r="F13" s="83" t="s">
        <v>49</v>
      </c>
      <c r="G13" s="3" t="s">
        <v>50</v>
      </c>
      <c r="H13" s="3" t="s">
        <v>51</v>
      </c>
      <c r="I13" s="3" t="s">
        <v>52</v>
      </c>
      <c r="J13" s="3" t="s">
        <v>53</v>
      </c>
      <c r="K13" s="17"/>
    </row>
    <row r="14" spans="2:11" ht="16" x14ac:dyDescent="0.2">
      <c r="B14" s="45" t="s">
        <v>54</v>
      </c>
      <c r="C14" s="3" t="s">
        <v>55</v>
      </c>
      <c r="D14" s="48" t="s">
        <v>56</v>
      </c>
      <c r="E14" s="91" t="s">
        <v>57</v>
      </c>
      <c r="F14" s="3" t="s">
        <v>58</v>
      </c>
      <c r="G14" s="3" t="s">
        <v>59</v>
      </c>
      <c r="H14" s="3" t="s">
        <v>60</v>
      </c>
      <c r="I14" s="91" t="s">
        <v>61</v>
      </c>
      <c r="J14" s="3" t="s">
        <v>62</v>
      </c>
      <c r="K14" s="17"/>
    </row>
    <row r="15" spans="2:11" ht="80" x14ac:dyDescent="0.2">
      <c r="B15" s="45" t="s">
        <v>63</v>
      </c>
      <c r="C15" s="91" t="s">
        <v>1702</v>
      </c>
      <c r="D15" s="76" t="s">
        <v>64</v>
      </c>
      <c r="E15" s="91" t="s">
        <v>65</v>
      </c>
      <c r="F15" s="84" t="s">
        <v>66</v>
      </c>
      <c r="G15" s="3" t="s">
        <v>67</v>
      </c>
      <c r="H15" s="3" t="s">
        <v>68</v>
      </c>
      <c r="I15" s="91" t="s">
        <v>69</v>
      </c>
      <c r="J15" s="87" t="s">
        <v>70</v>
      </c>
      <c r="K15" s="17"/>
    </row>
    <row r="16" spans="2:11" ht="16" x14ac:dyDescent="0.2">
      <c r="B16" s="45" t="s">
        <v>71</v>
      </c>
      <c r="C16" s="3" t="s">
        <v>72</v>
      </c>
      <c r="D16" s="48" t="s">
        <v>72</v>
      </c>
      <c r="E16" s="91" t="s">
        <v>73</v>
      </c>
      <c r="F16" s="3" t="s">
        <v>74</v>
      </c>
      <c r="G16" s="3" t="s">
        <v>75</v>
      </c>
      <c r="H16" s="3" t="s">
        <v>76</v>
      </c>
      <c r="I16" s="91" t="s">
        <v>77</v>
      </c>
      <c r="J16" s="3" t="s">
        <v>78</v>
      </c>
      <c r="K16" s="17"/>
    </row>
    <row r="17" spans="2:11" ht="16" x14ac:dyDescent="0.2">
      <c r="B17" s="45" t="s">
        <v>79</v>
      </c>
      <c r="C17" s="3" t="s">
        <v>80</v>
      </c>
      <c r="D17" s="48" t="s">
        <v>81</v>
      </c>
      <c r="E17" s="91" t="s">
        <v>82</v>
      </c>
      <c r="F17" s="3" t="s">
        <v>83</v>
      </c>
      <c r="G17" s="3" t="s">
        <v>84</v>
      </c>
      <c r="H17" s="3" t="s">
        <v>85</v>
      </c>
      <c r="I17" s="91" t="s">
        <v>86</v>
      </c>
      <c r="J17" s="3" t="s">
        <v>87</v>
      </c>
      <c r="K17" s="17"/>
    </row>
    <row r="18" spans="2:11" ht="96" x14ac:dyDescent="0.2">
      <c r="B18" s="45" t="s">
        <v>88</v>
      </c>
      <c r="C18" s="3" t="s">
        <v>1694</v>
      </c>
      <c r="D18" s="48" t="s">
        <v>89</v>
      </c>
      <c r="E18" s="3" t="s">
        <v>90</v>
      </c>
      <c r="F18" s="3" t="s">
        <v>91</v>
      </c>
      <c r="G18" s="3" t="s">
        <v>92</v>
      </c>
      <c r="H18" s="3" t="s">
        <v>93</v>
      </c>
      <c r="I18" s="3" t="s">
        <v>94</v>
      </c>
      <c r="J18" s="3" t="s">
        <v>95</v>
      </c>
      <c r="K18" s="17"/>
    </row>
    <row r="19" spans="2:11" ht="17" x14ac:dyDescent="0.2">
      <c r="B19" s="45" t="s">
        <v>96</v>
      </c>
      <c r="C19" s="3" t="s">
        <v>97</v>
      </c>
      <c r="D19" s="48" t="s">
        <v>98</v>
      </c>
      <c r="E19" s="91" t="s">
        <v>99</v>
      </c>
      <c r="F19" s="3" t="s">
        <v>100</v>
      </c>
      <c r="G19" s="3" t="s">
        <v>101</v>
      </c>
      <c r="H19" s="3" t="s">
        <v>102</v>
      </c>
      <c r="I19" s="91" t="s">
        <v>103</v>
      </c>
      <c r="J19" s="87" t="s">
        <v>104</v>
      </c>
      <c r="K19" s="17"/>
    </row>
    <row r="20" spans="2:11" ht="32" x14ac:dyDescent="0.2">
      <c r="B20" s="45" t="s">
        <v>105</v>
      </c>
      <c r="C20" s="3" t="s">
        <v>1704</v>
      </c>
      <c r="D20" s="48" t="s">
        <v>106</v>
      </c>
      <c r="E20" s="91" t="s">
        <v>107</v>
      </c>
      <c r="F20" s="3" t="s">
        <v>108</v>
      </c>
      <c r="G20" s="3" t="s">
        <v>109</v>
      </c>
      <c r="H20" s="3" t="s">
        <v>110</v>
      </c>
      <c r="I20" s="91" t="s">
        <v>111</v>
      </c>
      <c r="J20" s="87" t="s">
        <v>112</v>
      </c>
      <c r="K20" s="17"/>
    </row>
    <row r="21" spans="2:11" ht="17" x14ac:dyDescent="0.2">
      <c r="B21" s="45" t="s">
        <v>113</v>
      </c>
      <c r="C21" s="3" t="s">
        <v>114</v>
      </c>
      <c r="D21" s="48" t="s">
        <v>115</v>
      </c>
      <c r="E21" s="91" t="s">
        <v>116</v>
      </c>
      <c r="F21" s="3" t="s">
        <v>117</v>
      </c>
      <c r="G21" s="3" t="s">
        <v>118</v>
      </c>
      <c r="H21" s="3" t="s">
        <v>119</v>
      </c>
      <c r="I21" s="91" t="s">
        <v>120</v>
      </c>
      <c r="J21" s="87" t="s">
        <v>121</v>
      </c>
      <c r="K21" s="17"/>
    </row>
    <row r="22" spans="2:11" ht="17" x14ac:dyDescent="0.2">
      <c r="B22" s="45" t="s">
        <v>122</v>
      </c>
      <c r="C22" s="3" t="s">
        <v>1703</v>
      </c>
      <c r="D22" s="48" t="s">
        <v>123</v>
      </c>
      <c r="E22" s="91" t="s">
        <v>124</v>
      </c>
      <c r="F22" s="98" t="s">
        <v>125</v>
      </c>
      <c r="G22" s="3" t="s">
        <v>126</v>
      </c>
      <c r="H22" s="3" t="s">
        <v>127</v>
      </c>
      <c r="I22" s="91" t="s">
        <v>128</v>
      </c>
      <c r="J22" s="87" t="s">
        <v>129</v>
      </c>
      <c r="K22" s="17"/>
    </row>
    <row r="23" spans="2:11" ht="32" x14ac:dyDescent="0.2">
      <c r="B23" s="45" t="s">
        <v>130</v>
      </c>
      <c r="C23" s="3" t="s">
        <v>131</v>
      </c>
      <c r="D23" s="3" t="s">
        <v>132</v>
      </c>
      <c r="E23" s="91" t="s">
        <v>133</v>
      </c>
      <c r="F23" s="98" t="s">
        <v>134</v>
      </c>
      <c r="G23" s="3" t="s">
        <v>135</v>
      </c>
      <c r="H23" s="3" t="s">
        <v>136</v>
      </c>
      <c r="I23" s="91" t="s">
        <v>137</v>
      </c>
      <c r="J23" s="87" t="s">
        <v>138</v>
      </c>
      <c r="K23" s="17"/>
    </row>
    <row r="24" spans="2:11" ht="17" x14ac:dyDescent="0.2">
      <c r="B24" s="45" t="s">
        <v>139</v>
      </c>
      <c r="C24" s="3" t="s">
        <v>140</v>
      </c>
      <c r="D24" s="3" t="s">
        <v>141</v>
      </c>
      <c r="E24" s="91" t="s">
        <v>142</v>
      </c>
      <c r="F24" s="98" t="s">
        <v>143</v>
      </c>
      <c r="G24" s="3" t="s">
        <v>144</v>
      </c>
      <c r="H24" s="3" t="s">
        <v>145</v>
      </c>
      <c r="I24" s="91" t="s">
        <v>146</v>
      </c>
      <c r="J24" s="87" t="s">
        <v>147</v>
      </c>
      <c r="K24" s="17"/>
    </row>
    <row r="25" spans="2:11" ht="16" x14ac:dyDescent="0.2">
      <c r="B25" s="45" t="s">
        <v>148</v>
      </c>
      <c r="C25" s="3" t="s">
        <v>149</v>
      </c>
      <c r="D25" s="3" t="s">
        <v>150</v>
      </c>
      <c r="E25" s="3" t="s">
        <v>151</v>
      </c>
      <c r="F25" s="3" t="s">
        <v>152</v>
      </c>
      <c r="G25" s="3" t="s">
        <v>153</v>
      </c>
      <c r="H25" s="3" t="s">
        <v>154</v>
      </c>
      <c r="I25" s="3"/>
      <c r="J25" s="3" t="s">
        <v>155</v>
      </c>
      <c r="K25" s="17"/>
    </row>
    <row r="26" spans="2:11" ht="48" x14ac:dyDescent="0.2">
      <c r="B26" s="45" t="s">
        <v>156</v>
      </c>
      <c r="C26" s="3" t="s">
        <v>157</v>
      </c>
      <c r="D26" s="48" t="s">
        <v>158</v>
      </c>
      <c r="E26" s="3" t="s">
        <v>159</v>
      </c>
      <c r="F26" s="3" t="s">
        <v>160</v>
      </c>
      <c r="G26" s="3" t="s">
        <v>161</v>
      </c>
      <c r="H26" s="3" t="s">
        <v>162</v>
      </c>
      <c r="I26" s="3" t="s">
        <v>163</v>
      </c>
      <c r="J26" s="3" t="s">
        <v>164</v>
      </c>
      <c r="K26" s="17"/>
    </row>
    <row r="27" spans="2:11" ht="16" x14ac:dyDescent="0.2">
      <c r="B27" s="99" t="s">
        <v>165</v>
      </c>
      <c r="C27" s="93" t="s">
        <v>166</v>
      </c>
      <c r="D27" s="93" t="s">
        <v>166</v>
      </c>
      <c r="E27" s="91" t="s">
        <v>167</v>
      </c>
      <c r="F27" s="98" t="s">
        <v>168</v>
      </c>
      <c r="G27" s="3" t="s">
        <v>169</v>
      </c>
      <c r="H27" s="3" t="s">
        <v>170</v>
      </c>
      <c r="I27" s="91" t="s">
        <v>171</v>
      </c>
      <c r="J27" s="93" t="s">
        <v>172</v>
      </c>
      <c r="K27" s="17"/>
    </row>
    <row r="28" spans="2:11" ht="16" x14ac:dyDescent="0.2">
      <c r="B28" s="99" t="s">
        <v>173</v>
      </c>
      <c r="C28" s="91" t="s">
        <v>174</v>
      </c>
      <c r="D28" s="91" t="s">
        <v>175</v>
      </c>
      <c r="E28" s="91" t="s">
        <v>176</v>
      </c>
      <c r="F28" s="98" t="s">
        <v>177</v>
      </c>
      <c r="G28" s="3" t="s">
        <v>178</v>
      </c>
      <c r="H28" s="3" t="s">
        <v>179</v>
      </c>
      <c r="I28" s="91" t="s">
        <v>180</v>
      </c>
      <c r="J28" s="91" t="s">
        <v>181</v>
      </c>
      <c r="K28" s="17"/>
    </row>
    <row r="29" spans="2:11" ht="218" customHeight="1" x14ac:dyDescent="0.2">
      <c r="B29" s="99" t="s">
        <v>182</v>
      </c>
      <c r="C29" s="91" t="s">
        <v>1701</v>
      </c>
      <c r="D29" s="76" t="s">
        <v>183</v>
      </c>
      <c r="E29" s="84" t="s">
        <v>184</v>
      </c>
      <c r="F29" s="91" t="s">
        <v>185</v>
      </c>
      <c r="G29" s="3" t="s">
        <v>186</v>
      </c>
      <c r="H29" s="3" t="s">
        <v>187</v>
      </c>
      <c r="I29" s="91" t="s">
        <v>188</v>
      </c>
      <c r="J29" s="91" t="s">
        <v>189</v>
      </c>
      <c r="K29" s="17"/>
    </row>
    <row r="30" spans="2:11" ht="16" x14ac:dyDescent="0.2">
      <c r="B30" s="5" t="s">
        <v>190</v>
      </c>
      <c r="C30" s="3" t="s">
        <v>1690</v>
      </c>
      <c r="D30" s="3" t="s">
        <v>191</v>
      </c>
      <c r="E30" s="3" t="s">
        <v>192</v>
      </c>
      <c r="F30" s="3" t="s">
        <v>193</v>
      </c>
      <c r="G30" s="3" t="s">
        <v>194</v>
      </c>
      <c r="H30" s="3" t="s">
        <v>195</v>
      </c>
      <c r="I30" s="3" t="s">
        <v>196</v>
      </c>
      <c r="J30" s="3" t="s">
        <v>197</v>
      </c>
      <c r="K30" s="17"/>
    </row>
    <row r="31" spans="2:11" ht="16" x14ac:dyDescent="0.2">
      <c r="B31" s="5" t="s">
        <v>198</v>
      </c>
      <c r="C31" s="3" t="s">
        <v>199</v>
      </c>
      <c r="D31" s="3" t="s">
        <v>200</v>
      </c>
      <c r="E31" s="3" t="s">
        <v>201</v>
      </c>
      <c r="F31" s="3" t="s">
        <v>202</v>
      </c>
      <c r="G31" s="3" t="s">
        <v>203</v>
      </c>
      <c r="H31" s="3" t="s">
        <v>204</v>
      </c>
      <c r="I31" s="91" t="s">
        <v>205</v>
      </c>
      <c r="J31" s="3" t="s">
        <v>206</v>
      </c>
      <c r="K31" s="17"/>
    </row>
    <row r="32" spans="2:11" ht="16" x14ac:dyDescent="0.2">
      <c r="B32" s="5" t="s">
        <v>207</v>
      </c>
      <c r="C32" s="3" t="s">
        <v>208</v>
      </c>
      <c r="D32" s="3" t="s">
        <v>209</v>
      </c>
      <c r="E32" s="3" t="s">
        <v>210</v>
      </c>
      <c r="F32" s="3" t="s">
        <v>211</v>
      </c>
      <c r="G32" s="3" t="s">
        <v>212</v>
      </c>
      <c r="H32" s="3" t="s">
        <v>208</v>
      </c>
      <c r="I32" s="91" t="s">
        <v>213</v>
      </c>
      <c r="J32" s="3" t="s">
        <v>210</v>
      </c>
      <c r="K32" s="17"/>
    </row>
    <row r="33" spans="2:11" ht="16" x14ac:dyDescent="0.2">
      <c r="B33" s="5" t="s">
        <v>214</v>
      </c>
      <c r="C33" s="3" t="s">
        <v>215</v>
      </c>
      <c r="D33" s="3" t="s">
        <v>215</v>
      </c>
      <c r="E33" s="3" t="s">
        <v>216</v>
      </c>
      <c r="F33" s="3" t="s">
        <v>217</v>
      </c>
      <c r="G33" s="56" t="s">
        <v>218</v>
      </c>
      <c r="H33" s="3" t="s">
        <v>215</v>
      </c>
      <c r="I33" s="91" t="s">
        <v>219</v>
      </c>
      <c r="J33" s="3" t="s">
        <v>220</v>
      </c>
      <c r="K33" s="17"/>
    </row>
    <row r="34" spans="2:11" ht="16" x14ac:dyDescent="0.2">
      <c r="B34" s="5" t="s">
        <v>221</v>
      </c>
      <c r="C34" s="3" t="s">
        <v>222</v>
      </c>
      <c r="D34" s="3" t="s">
        <v>223</v>
      </c>
      <c r="E34" s="3" t="s">
        <v>224</v>
      </c>
      <c r="F34" s="3" t="s">
        <v>225</v>
      </c>
      <c r="G34" s="3" t="s">
        <v>226</v>
      </c>
      <c r="H34" s="3" t="s">
        <v>227</v>
      </c>
      <c r="I34" s="91" t="s">
        <v>228</v>
      </c>
      <c r="J34" s="3" t="s">
        <v>229</v>
      </c>
      <c r="K34" s="17"/>
    </row>
    <row r="35" spans="2:11" ht="16" x14ac:dyDescent="0.2">
      <c r="B35" s="5" t="s">
        <v>230</v>
      </c>
      <c r="C35" s="3" t="s">
        <v>231</v>
      </c>
      <c r="D35" s="3" t="s">
        <v>232</v>
      </c>
      <c r="E35" s="3" t="s">
        <v>233</v>
      </c>
      <c r="F35" s="3" t="s">
        <v>234</v>
      </c>
      <c r="G35" s="3" t="s">
        <v>235</v>
      </c>
      <c r="H35" s="3" t="s">
        <v>236</v>
      </c>
      <c r="I35" s="91" t="s">
        <v>237</v>
      </c>
      <c r="J35" s="3" t="s">
        <v>238</v>
      </c>
      <c r="K35" s="17"/>
    </row>
    <row r="36" spans="2:11" ht="32" x14ac:dyDescent="0.2">
      <c r="B36" s="46" t="s">
        <v>239</v>
      </c>
      <c r="C36" s="3" t="s">
        <v>1691</v>
      </c>
      <c r="D36" s="3" t="s">
        <v>240</v>
      </c>
      <c r="E36" s="3" t="s">
        <v>241</v>
      </c>
      <c r="F36" s="3" t="s">
        <v>242</v>
      </c>
      <c r="G36" s="3" t="s">
        <v>243</v>
      </c>
      <c r="H36" s="3" t="s">
        <v>244</v>
      </c>
      <c r="I36" s="3" t="s">
        <v>245</v>
      </c>
      <c r="J36" s="3" t="s">
        <v>246</v>
      </c>
      <c r="K36" s="17"/>
    </row>
    <row r="37" spans="2:11" ht="144" x14ac:dyDescent="0.2">
      <c r="B37" s="46" t="s">
        <v>247</v>
      </c>
      <c r="C37" s="3" t="s">
        <v>1695</v>
      </c>
      <c r="D37" s="3" t="s">
        <v>248</v>
      </c>
      <c r="E37" s="3" t="s">
        <v>249</v>
      </c>
      <c r="F37" s="3" t="s">
        <v>250</v>
      </c>
      <c r="G37" s="3" t="s">
        <v>251</v>
      </c>
      <c r="H37" s="3" t="s">
        <v>252</v>
      </c>
      <c r="I37" s="3" t="s">
        <v>253</v>
      </c>
      <c r="J37" s="3" t="s">
        <v>254</v>
      </c>
      <c r="K37" s="17"/>
    </row>
    <row r="38" spans="2:11" ht="32" x14ac:dyDescent="0.2">
      <c r="B38" s="46" t="s">
        <v>255</v>
      </c>
      <c r="C38" s="3" t="s">
        <v>256</v>
      </c>
      <c r="D38" s="3" t="s">
        <v>257</v>
      </c>
      <c r="E38" s="3" t="s">
        <v>258</v>
      </c>
      <c r="F38" s="3" t="s">
        <v>259</v>
      </c>
      <c r="G38" s="3" t="s">
        <v>260</v>
      </c>
      <c r="H38" s="3" t="s">
        <v>261</v>
      </c>
      <c r="I38" s="3" t="s">
        <v>262</v>
      </c>
      <c r="J38" s="3" t="s">
        <v>263</v>
      </c>
      <c r="K38" s="17"/>
    </row>
    <row r="39" spans="2:11" ht="112" x14ac:dyDescent="0.2">
      <c r="B39" s="46" t="s">
        <v>264</v>
      </c>
      <c r="C39" s="3" t="s">
        <v>1696</v>
      </c>
      <c r="D39" s="3" t="s">
        <v>265</v>
      </c>
      <c r="E39" s="3" t="s">
        <v>266</v>
      </c>
      <c r="F39" s="3" t="s">
        <v>267</v>
      </c>
      <c r="G39" s="3" t="s">
        <v>268</v>
      </c>
      <c r="H39" s="3" t="s">
        <v>269</v>
      </c>
      <c r="I39" s="3" t="s">
        <v>270</v>
      </c>
      <c r="J39" s="3" t="s">
        <v>271</v>
      </c>
      <c r="K39" s="17"/>
    </row>
    <row r="40" spans="2:11" ht="16" x14ac:dyDescent="0.2">
      <c r="B40" s="46" t="s">
        <v>272</v>
      </c>
      <c r="C40" s="19" t="s">
        <v>273</v>
      </c>
      <c r="D40" s="3" t="s">
        <v>274</v>
      </c>
      <c r="E40" s="82" t="s">
        <v>275</v>
      </c>
      <c r="F40" s="3" t="s">
        <v>276</v>
      </c>
      <c r="G40" s="3" t="s">
        <v>277</v>
      </c>
      <c r="H40" s="3" t="s">
        <v>278</v>
      </c>
      <c r="I40" s="3" t="s">
        <v>279</v>
      </c>
      <c r="J40" s="19" t="s">
        <v>280</v>
      </c>
      <c r="K40" s="17"/>
    </row>
    <row r="41" spans="2:11" ht="16" x14ac:dyDescent="0.2">
      <c r="B41" s="46" t="s">
        <v>281</v>
      </c>
      <c r="C41" s="3" t="s">
        <v>282</v>
      </c>
      <c r="D41" s="3" t="s">
        <v>283</v>
      </c>
      <c r="E41" s="3" t="s">
        <v>284</v>
      </c>
      <c r="F41" s="3" t="s">
        <v>285</v>
      </c>
      <c r="G41" s="3" t="s">
        <v>286</v>
      </c>
      <c r="H41" s="3" t="s">
        <v>282</v>
      </c>
      <c r="I41" s="3" t="s">
        <v>287</v>
      </c>
      <c r="J41" s="3" t="s">
        <v>288</v>
      </c>
      <c r="K41" s="17"/>
    </row>
    <row r="42" spans="2:11" ht="16" x14ac:dyDescent="0.2">
      <c r="B42" s="46" t="s">
        <v>289</v>
      </c>
      <c r="C42" s="3" t="s">
        <v>290</v>
      </c>
      <c r="D42" s="3" t="s">
        <v>291</v>
      </c>
      <c r="E42" s="3" t="s">
        <v>292</v>
      </c>
      <c r="F42" s="3" t="s">
        <v>293</v>
      </c>
      <c r="G42" s="3" t="s">
        <v>294</v>
      </c>
      <c r="H42" s="3" t="s">
        <v>295</v>
      </c>
      <c r="I42" s="3" t="s">
        <v>296</v>
      </c>
      <c r="J42" s="3" t="s">
        <v>297</v>
      </c>
      <c r="K42" s="17"/>
    </row>
    <row r="43" spans="2:11" ht="64" x14ac:dyDescent="0.2">
      <c r="B43" s="46" t="s">
        <v>298</v>
      </c>
      <c r="C43" s="3" t="s">
        <v>1697</v>
      </c>
      <c r="D43" s="3" t="s">
        <v>299</v>
      </c>
      <c r="E43" s="3" t="s">
        <v>300</v>
      </c>
      <c r="F43" s="3" t="s">
        <v>301</v>
      </c>
      <c r="G43" s="3" t="s">
        <v>302</v>
      </c>
      <c r="H43" s="3" t="s">
        <v>303</v>
      </c>
      <c r="I43" s="3" t="s">
        <v>304</v>
      </c>
      <c r="J43" s="3" t="s">
        <v>305</v>
      </c>
      <c r="K43" s="17"/>
    </row>
    <row r="44" spans="2:11" ht="16" x14ac:dyDescent="0.2">
      <c r="B44" s="46" t="s">
        <v>306</v>
      </c>
      <c r="C44" s="3" t="s">
        <v>307</v>
      </c>
      <c r="D44" s="3" t="s">
        <v>308</v>
      </c>
      <c r="E44" s="3" t="s">
        <v>309</v>
      </c>
      <c r="F44" s="3" t="s">
        <v>310</v>
      </c>
      <c r="G44" s="3" t="s">
        <v>311</v>
      </c>
      <c r="H44" s="3" t="s">
        <v>312</v>
      </c>
      <c r="I44" s="3" t="s">
        <v>313</v>
      </c>
      <c r="J44" s="3" t="s">
        <v>314</v>
      </c>
      <c r="K44" s="17"/>
    </row>
    <row r="45" spans="2:11" ht="64.5" customHeight="1" x14ac:dyDescent="0.2">
      <c r="B45" s="46" t="s">
        <v>315</v>
      </c>
      <c r="C45" s="3" t="s">
        <v>316</v>
      </c>
      <c r="D45" s="3" t="s">
        <v>317</v>
      </c>
      <c r="E45" s="3" t="s">
        <v>318</v>
      </c>
      <c r="F45" s="3" t="s">
        <v>319</v>
      </c>
      <c r="G45" s="3" t="s">
        <v>320</v>
      </c>
      <c r="H45" s="3" t="s">
        <v>321</v>
      </c>
      <c r="I45" s="3" t="s">
        <v>322</v>
      </c>
      <c r="J45" s="3" t="s">
        <v>323</v>
      </c>
      <c r="K45" s="17"/>
    </row>
    <row r="46" spans="2:11" ht="16" x14ac:dyDescent="0.2">
      <c r="B46" s="46" t="s">
        <v>324</v>
      </c>
      <c r="C46" s="3" t="s">
        <v>325</v>
      </c>
      <c r="D46" s="3" t="s">
        <v>326</v>
      </c>
      <c r="E46" s="3" t="s">
        <v>327</v>
      </c>
      <c r="F46" s="3" t="s">
        <v>328</v>
      </c>
      <c r="G46" s="3" t="s">
        <v>329</v>
      </c>
      <c r="H46" s="3" t="s">
        <v>330</v>
      </c>
      <c r="I46" s="3" t="s">
        <v>331</v>
      </c>
      <c r="J46" s="3" t="s">
        <v>332</v>
      </c>
      <c r="K46" s="17"/>
    </row>
    <row r="47" spans="2:11" ht="32" x14ac:dyDescent="0.2">
      <c r="B47" s="46" t="s">
        <v>333</v>
      </c>
      <c r="C47" s="3" t="s">
        <v>334</v>
      </c>
      <c r="D47" s="3" t="s">
        <v>335</v>
      </c>
      <c r="E47" s="3" t="s">
        <v>336</v>
      </c>
      <c r="F47" s="3" t="s">
        <v>337</v>
      </c>
      <c r="G47" s="3" t="s">
        <v>338</v>
      </c>
      <c r="H47" s="3" t="s">
        <v>339</v>
      </c>
      <c r="I47" s="3" t="s">
        <v>340</v>
      </c>
      <c r="J47" s="3" t="s">
        <v>341</v>
      </c>
      <c r="K47" s="17"/>
    </row>
    <row r="48" spans="2:11" ht="16" x14ac:dyDescent="0.2">
      <c r="B48" s="46" t="s">
        <v>342</v>
      </c>
      <c r="C48" s="3" t="s">
        <v>343</v>
      </c>
      <c r="D48" s="3" t="s">
        <v>344</v>
      </c>
      <c r="E48" s="3" t="s">
        <v>345</v>
      </c>
      <c r="F48" s="3" t="s">
        <v>346</v>
      </c>
      <c r="G48" s="3" t="s">
        <v>347</v>
      </c>
      <c r="H48" s="3" t="s">
        <v>348</v>
      </c>
      <c r="I48" s="3" t="s">
        <v>349</v>
      </c>
      <c r="J48" s="3" t="s">
        <v>350</v>
      </c>
      <c r="K48" s="17"/>
    </row>
    <row r="49" spans="2:11" ht="96" x14ac:dyDescent="0.2">
      <c r="B49" s="46" t="s">
        <v>351</v>
      </c>
      <c r="C49" s="3" t="s">
        <v>352</v>
      </c>
      <c r="D49" s="3" t="s">
        <v>353</v>
      </c>
      <c r="E49" s="3" t="s">
        <v>354</v>
      </c>
      <c r="F49" s="3" t="s">
        <v>355</v>
      </c>
      <c r="G49" s="3" t="s">
        <v>356</v>
      </c>
      <c r="H49" s="3" t="s">
        <v>357</v>
      </c>
      <c r="I49" s="3" t="s">
        <v>358</v>
      </c>
      <c r="J49" s="3" t="s">
        <v>359</v>
      </c>
      <c r="K49" s="17"/>
    </row>
    <row r="50" spans="2:11" ht="16" x14ac:dyDescent="0.2">
      <c r="B50" s="46" t="s">
        <v>360</v>
      </c>
      <c r="C50" s="3" t="s">
        <v>361</v>
      </c>
      <c r="D50" s="3" t="s">
        <v>362</v>
      </c>
      <c r="E50" s="3" t="s">
        <v>363</v>
      </c>
      <c r="F50" s="3" t="s">
        <v>364</v>
      </c>
      <c r="G50" s="3" t="s">
        <v>365</v>
      </c>
      <c r="H50" s="3" t="s">
        <v>366</v>
      </c>
      <c r="I50" s="3" t="s">
        <v>367</v>
      </c>
      <c r="J50" s="3" t="s">
        <v>368</v>
      </c>
      <c r="K50" s="17"/>
    </row>
    <row r="51" spans="2:11" ht="48" x14ac:dyDescent="0.2">
      <c r="B51" s="46" t="s">
        <v>369</v>
      </c>
      <c r="C51" s="3" t="s">
        <v>370</v>
      </c>
      <c r="D51" s="3" t="s">
        <v>371</v>
      </c>
      <c r="E51" s="3" t="s">
        <v>372</v>
      </c>
      <c r="F51" s="3" t="s">
        <v>373</v>
      </c>
      <c r="G51" s="3" t="s">
        <v>374</v>
      </c>
      <c r="H51" s="3" t="s">
        <v>375</v>
      </c>
      <c r="I51" s="3" t="s">
        <v>376</v>
      </c>
      <c r="J51" s="3" t="s">
        <v>377</v>
      </c>
      <c r="K51" s="17"/>
    </row>
    <row r="52" spans="2:11" ht="32" x14ac:dyDescent="0.2">
      <c r="B52" s="46" t="s">
        <v>378</v>
      </c>
      <c r="C52" s="3" t="s">
        <v>379</v>
      </c>
      <c r="D52" s="3" t="s">
        <v>380</v>
      </c>
      <c r="E52" s="3" t="s">
        <v>381</v>
      </c>
      <c r="F52" s="3" t="s">
        <v>382</v>
      </c>
      <c r="G52" s="3" t="s">
        <v>383</v>
      </c>
      <c r="H52" s="3" t="s">
        <v>384</v>
      </c>
      <c r="I52" s="3" t="s">
        <v>385</v>
      </c>
      <c r="J52" s="3" t="s">
        <v>386</v>
      </c>
      <c r="K52" s="17"/>
    </row>
    <row r="53" spans="2:11" ht="80" x14ac:dyDescent="0.2">
      <c r="B53" s="46" t="s">
        <v>387</v>
      </c>
      <c r="C53" s="3" t="s">
        <v>388</v>
      </c>
      <c r="D53" s="3" t="s">
        <v>389</v>
      </c>
      <c r="E53" s="3" t="s">
        <v>390</v>
      </c>
      <c r="F53" s="3" t="s">
        <v>391</v>
      </c>
      <c r="G53" s="3" t="s">
        <v>392</v>
      </c>
      <c r="H53" s="3" t="s">
        <v>393</v>
      </c>
      <c r="I53" s="3" t="s">
        <v>394</v>
      </c>
      <c r="J53" s="3" t="s">
        <v>395</v>
      </c>
      <c r="K53" s="17"/>
    </row>
    <row r="54" spans="2:11" ht="16" x14ac:dyDescent="0.2">
      <c r="B54" s="46" t="s">
        <v>396</v>
      </c>
      <c r="C54" s="3" t="s">
        <v>397</v>
      </c>
      <c r="D54" s="3" t="s">
        <v>398</v>
      </c>
      <c r="E54" s="3" t="s">
        <v>399</v>
      </c>
      <c r="F54" s="3" t="s">
        <v>400</v>
      </c>
      <c r="G54" s="3" t="s">
        <v>401</v>
      </c>
      <c r="H54" s="3" t="s">
        <v>402</v>
      </c>
      <c r="I54" s="3" t="s">
        <v>403</v>
      </c>
      <c r="J54" s="3" t="s">
        <v>404</v>
      </c>
      <c r="K54" s="17"/>
    </row>
    <row r="55" spans="2:11" ht="64" x14ac:dyDescent="0.2">
      <c r="B55" s="46" t="s">
        <v>405</v>
      </c>
      <c r="C55" s="3" t="s">
        <v>406</v>
      </c>
      <c r="D55" s="3" t="s">
        <v>407</v>
      </c>
      <c r="E55" s="3" t="s">
        <v>408</v>
      </c>
      <c r="F55" s="3" t="s">
        <v>409</v>
      </c>
      <c r="G55" s="3" t="s">
        <v>410</v>
      </c>
      <c r="H55" s="3" t="s">
        <v>411</v>
      </c>
      <c r="I55" s="3" t="s">
        <v>412</v>
      </c>
      <c r="J55" s="3" t="s">
        <v>413</v>
      </c>
      <c r="K55" s="17"/>
    </row>
    <row r="56" spans="2:11" ht="16" x14ac:dyDescent="0.2">
      <c r="B56" s="45" t="s">
        <v>414</v>
      </c>
      <c r="C56" s="3" t="s">
        <v>415</v>
      </c>
      <c r="D56" s="3" t="s">
        <v>416</v>
      </c>
      <c r="E56" s="3" t="s">
        <v>417</v>
      </c>
      <c r="F56" s="3" t="s">
        <v>418</v>
      </c>
      <c r="G56" s="3" t="s">
        <v>419</v>
      </c>
      <c r="H56" s="3" t="s">
        <v>420</v>
      </c>
      <c r="I56" s="3" t="s">
        <v>421</v>
      </c>
      <c r="J56" s="3" t="s">
        <v>422</v>
      </c>
      <c r="K56" s="17"/>
    </row>
    <row r="57" spans="2:11" ht="16" x14ac:dyDescent="0.2">
      <c r="B57" s="45" t="s">
        <v>423</v>
      </c>
      <c r="C57" s="3" t="s">
        <v>424</v>
      </c>
      <c r="D57" s="3" t="s">
        <v>425</v>
      </c>
      <c r="E57" s="3" t="s">
        <v>426</v>
      </c>
      <c r="F57" s="3" t="s">
        <v>427</v>
      </c>
      <c r="G57" s="3" t="s">
        <v>428</v>
      </c>
      <c r="H57" s="3" t="s">
        <v>429</v>
      </c>
      <c r="I57" s="3" t="s">
        <v>430</v>
      </c>
      <c r="J57" s="3" t="s">
        <v>431</v>
      </c>
      <c r="K57" s="17"/>
    </row>
    <row r="58" spans="2:11" ht="48" x14ac:dyDescent="0.2">
      <c r="B58" s="45" t="s">
        <v>432</v>
      </c>
      <c r="C58" s="3" t="s">
        <v>433</v>
      </c>
      <c r="D58" s="3" t="s">
        <v>434</v>
      </c>
      <c r="E58" s="3" t="s">
        <v>435</v>
      </c>
      <c r="F58" s="3" t="s">
        <v>436</v>
      </c>
      <c r="G58" s="3" t="s">
        <v>437</v>
      </c>
      <c r="H58" s="3" t="s">
        <v>438</v>
      </c>
      <c r="I58" s="3" t="s">
        <v>439</v>
      </c>
      <c r="J58" s="3" t="s">
        <v>440</v>
      </c>
      <c r="K58" s="17"/>
    </row>
    <row r="59" spans="2:11" ht="32" x14ac:dyDescent="0.2">
      <c r="B59" s="45" t="s">
        <v>441</v>
      </c>
      <c r="C59" s="3" t="s">
        <v>442</v>
      </c>
      <c r="D59" s="3" t="s">
        <v>443</v>
      </c>
      <c r="E59" s="3" t="s">
        <v>444</v>
      </c>
      <c r="F59" s="3" t="s">
        <v>445</v>
      </c>
      <c r="G59" s="3" t="s">
        <v>446</v>
      </c>
      <c r="H59" s="3" t="s">
        <v>447</v>
      </c>
      <c r="I59" s="3" t="s">
        <v>448</v>
      </c>
      <c r="J59" s="3" t="s">
        <v>449</v>
      </c>
      <c r="K59" s="17"/>
    </row>
    <row r="60" spans="2:11" ht="32" x14ac:dyDescent="0.2">
      <c r="B60" s="45" t="s">
        <v>450</v>
      </c>
      <c r="C60" s="3" t="s">
        <v>451</v>
      </c>
      <c r="D60" s="3" t="s">
        <v>452</v>
      </c>
      <c r="E60" s="3" t="s">
        <v>453</v>
      </c>
      <c r="F60" s="3" t="s">
        <v>454</v>
      </c>
      <c r="G60" s="3" t="s">
        <v>455</v>
      </c>
      <c r="H60" s="3" t="s">
        <v>456</v>
      </c>
      <c r="I60" s="3" t="s">
        <v>457</v>
      </c>
      <c r="J60" s="3" t="s">
        <v>458</v>
      </c>
      <c r="K60" s="17"/>
    </row>
    <row r="61" spans="2:11" ht="16" x14ac:dyDescent="0.2">
      <c r="B61" s="45" t="s">
        <v>459</v>
      </c>
      <c r="C61" s="3" t="s">
        <v>460</v>
      </c>
      <c r="D61" s="3" t="s">
        <v>461</v>
      </c>
      <c r="E61" s="83" t="s">
        <v>462</v>
      </c>
      <c r="F61" s="3" t="s">
        <v>463</v>
      </c>
      <c r="G61" s="3" t="s">
        <v>464</v>
      </c>
      <c r="H61" s="3" t="s">
        <v>465</v>
      </c>
      <c r="I61" s="3" t="s">
        <v>466</v>
      </c>
      <c r="J61" s="3" t="s">
        <v>467</v>
      </c>
      <c r="K61" s="17"/>
    </row>
    <row r="62" spans="2:11" ht="16" x14ac:dyDescent="0.2">
      <c r="B62" s="45" t="s">
        <v>468</v>
      </c>
      <c r="C62" s="3" t="s">
        <v>469</v>
      </c>
      <c r="D62" s="3" t="s">
        <v>470</v>
      </c>
      <c r="E62" s="3" t="s">
        <v>471</v>
      </c>
      <c r="F62" s="3" t="s">
        <v>472</v>
      </c>
      <c r="G62" s="3" t="s">
        <v>473</v>
      </c>
      <c r="H62" s="3" t="s">
        <v>474</v>
      </c>
      <c r="I62" s="3" t="s">
        <v>475</v>
      </c>
      <c r="J62" s="3" t="s">
        <v>476</v>
      </c>
      <c r="K62" s="17"/>
    </row>
    <row r="63" spans="2:11" ht="16" x14ac:dyDescent="0.2">
      <c r="B63" s="45" t="s">
        <v>477</v>
      </c>
      <c r="C63" s="3" t="s">
        <v>478</v>
      </c>
      <c r="D63" s="3" t="s">
        <v>479</v>
      </c>
      <c r="E63" s="3" t="s">
        <v>480</v>
      </c>
      <c r="F63" s="3" t="s">
        <v>481</v>
      </c>
      <c r="G63" s="3" t="s">
        <v>482</v>
      </c>
      <c r="H63" s="3" t="s">
        <v>483</v>
      </c>
      <c r="I63" s="3" t="s">
        <v>484</v>
      </c>
      <c r="J63" s="3" t="s">
        <v>485</v>
      </c>
      <c r="K63" s="17"/>
    </row>
    <row r="64" spans="2:11" ht="32" x14ac:dyDescent="0.2">
      <c r="B64" s="45" t="s">
        <v>486</v>
      </c>
      <c r="C64" s="3" t="s">
        <v>487</v>
      </c>
      <c r="D64" s="3" t="s">
        <v>488</v>
      </c>
      <c r="E64" s="3" t="s">
        <v>489</v>
      </c>
      <c r="F64" s="3" t="s">
        <v>490</v>
      </c>
      <c r="G64" s="3" t="s">
        <v>491</v>
      </c>
      <c r="H64" s="3" t="s">
        <v>492</v>
      </c>
      <c r="I64" s="3" t="s">
        <v>493</v>
      </c>
      <c r="J64" s="3" t="s">
        <v>494</v>
      </c>
      <c r="K64" s="17"/>
    </row>
    <row r="65" spans="2:11" ht="16" x14ac:dyDescent="0.2">
      <c r="B65" s="45" t="s">
        <v>495</v>
      </c>
      <c r="C65" s="3" t="s">
        <v>496</v>
      </c>
      <c r="D65" s="3" t="s">
        <v>497</v>
      </c>
      <c r="E65" s="3" t="s">
        <v>498</v>
      </c>
      <c r="F65" s="3" t="s">
        <v>499</v>
      </c>
      <c r="G65" s="3" t="s">
        <v>500</v>
      </c>
      <c r="H65" s="3" t="s">
        <v>501</v>
      </c>
      <c r="I65" s="3" t="s">
        <v>502</v>
      </c>
      <c r="J65" s="3" t="s">
        <v>503</v>
      </c>
      <c r="K65" s="17"/>
    </row>
    <row r="66" spans="2:11" ht="32" x14ac:dyDescent="0.2">
      <c r="B66" s="45" t="s">
        <v>504</v>
      </c>
      <c r="C66" s="3" t="s">
        <v>505</v>
      </c>
      <c r="D66" s="3" t="s">
        <v>506</v>
      </c>
      <c r="E66" s="3" t="s">
        <v>507</v>
      </c>
      <c r="F66" s="3" t="s">
        <v>508</v>
      </c>
      <c r="G66" s="3" t="s">
        <v>509</v>
      </c>
      <c r="H66" s="3" t="s">
        <v>510</v>
      </c>
      <c r="I66" s="3" t="s">
        <v>511</v>
      </c>
      <c r="J66" s="3" t="s">
        <v>512</v>
      </c>
      <c r="K66" s="17"/>
    </row>
    <row r="67" spans="2:11" ht="32" x14ac:dyDescent="0.2">
      <c r="B67" s="45" t="s">
        <v>513</v>
      </c>
      <c r="C67" s="3" t="s">
        <v>514</v>
      </c>
      <c r="D67" s="3" t="s">
        <v>515</v>
      </c>
      <c r="E67" s="3" t="s">
        <v>516</v>
      </c>
      <c r="F67" s="3" t="s">
        <v>517</v>
      </c>
      <c r="G67" s="3" t="s">
        <v>518</v>
      </c>
      <c r="H67" s="3" t="s">
        <v>519</v>
      </c>
      <c r="I67" s="3" t="s">
        <v>520</v>
      </c>
      <c r="J67" s="3" t="s">
        <v>521</v>
      </c>
      <c r="K67" s="17"/>
    </row>
    <row r="68" spans="2:11" ht="16" x14ac:dyDescent="0.2">
      <c r="B68" s="45" t="s">
        <v>522</v>
      </c>
      <c r="C68" s="3" t="s">
        <v>523</v>
      </c>
      <c r="D68" s="3" t="s">
        <v>524</v>
      </c>
      <c r="E68" s="3" t="s">
        <v>525</v>
      </c>
      <c r="F68" s="3" t="s">
        <v>526</v>
      </c>
      <c r="G68" s="3" t="s">
        <v>527</v>
      </c>
      <c r="H68" s="3" t="s">
        <v>528</v>
      </c>
      <c r="I68" s="3" t="s">
        <v>529</v>
      </c>
      <c r="J68" s="3" t="s">
        <v>530</v>
      </c>
      <c r="K68" s="17"/>
    </row>
    <row r="69" spans="2:11" ht="16" x14ac:dyDescent="0.2">
      <c r="B69" s="45" t="s">
        <v>531</v>
      </c>
      <c r="C69" s="3" t="s">
        <v>532</v>
      </c>
      <c r="D69" s="3" t="s">
        <v>533</v>
      </c>
      <c r="E69" s="3" t="s">
        <v>534</v>
      </c>
      <c r="F69" s="3" t="s">
        <v>535</v>
      </c>
      <c r="G69" s="3" t="s">
        <v>536</v>
      </c>
      <c r="H69" s="3" t="s">
        <v>537</v>
      </c>
      <c r="I69" s="3" t="s">
        <v>538</v>
      </c>
      <c r="J69" s="3" t="s">
        <v>539</v>
      </c>
      <c r="K69" s="17"/>
    </row>
    <row r="70" spans="2:11" ht="16" x14ac:dyDescent="0.2">
      <c r="B70" s="45" t="s">
        <v>540</v>
      </c>
      <c r="C70" s="3" t="s">
        <v>541</v>
      </c>
      <c r="D70" s="3" t="s">
        <v>542</v>
      </c>
      <c r="E70" s="3" t="s">
        <v>543</v>
      </c>
      <c r="F70" s="3" t="s">
        <v>544</v>
      </c>
      <c r="G70" s="3" t="s">
        <v>545</v>
      </c>
      <c r="H70" s="3" t="s">
        <v>546</v>
      </c>
      <c r="I70" s="3" t="s">
        <v>547</v>
      </c>
      <c r="J70" s="3" t="s">
        <v>548</v>
      </c>
      <c r="K70" s="17"/>
    </row>
    <row r="71" spans="2:11" ht="16" x14ac:dyDescent="0.2">
      <c r="B71" s="45" t="s">
        <v>549</v>
      </c>
      <c r="C71" s="3" t="s">
        <v>550</v>
      </c>
      <c r="D71" s="3" t="s">
        <v>551</v>
      </c>
      <c r="E71" s="3" t="s">
        <v>552</v>
      </c>
      <c r="F71" s="3" t="s">
        <v>553</v>
      </c>
      <c r="G71" s="3" t="s">
        <v>554</v>
      </c>
      <c r="H71" s="3" t="s">
        <v>555</v>
      </c>
      <c r="I71" s="3" t="s">
        <v>556</v>
      </c>
      <c r="J71" s="3" t="s">
        <v>557</v>
      </c>
      <c r="K71" s="17"/>
    </row>
    <row r="72" spans="2:11" ht="16" x14ac:dyDescent="0.2">
      <c r="B72" s="45" t="s">
        <v>558</v>
      </c>
      <c r="C72" s="2" t="s">
        <v>559</v>
      </c>
      <c r="D72" s="3" t="s">
        <v>560</v>
      </c>
      <c r="E72" s="3" t="s">
        <v>561</v>
      </c>
      <c r="F72" s="3" t="s">
        <v>562</v>
      </c>
      <c r="G72" s="3" t="s">
        <v>563</v>
      </c>
      <c r="H72" s="3" t="s">
        <v>564</v>
      </c>
      <c r="I72" s="3" t="s">
        <v>565</v>
      </c>
      <c r="J72" s="2" t="s">
        <v>566</v>
      </c>
      <c r="K72" s="17"/>
    </row>
    <row r="73" spans="2:11" ht="16" x14ac:dyDescent="0.2">
      <c r="B73" s="45" t="s">
        <v>567</v>
      </c>
      <c r="C73" s="2" t="s">
        <v>568</v>
      </c>
      <c r="D73" s="3" t="s">
        <v>569</v>
      </c>
      <c r="E73" s="3" t="s">
        <v>570</v>
      </c>
      <c r="F73" s="3" t="s">
        <v>571</v>
      </c>
      <c r="G73" s="3" t="s">
        <v>572</v>
      </c>
      <c r="H73" s="3" t="s">
        <v>573</v>
      </c>
      <c r="I73" s="3" t="s">
        <v>574</v>
      </c>
      <c r="J73" s="2" t="s">
        <v>575</v>
      </c>
      <c r="K73" s="17"/>
    </row>
    <row r="74" spans="2:11" ht="16" x14ac:dyDescent="0.2">
      <c r="B74" s="45" t="s">
        <v>576</v>
      </c>
      <c r="C74" s="2" t="s">
        <v>577</v>
      </c>
      <c r="D74" s="3" t="s">
        <v>578</v>
      </c>
      <c r="E74" s="3" t="s">
        <v>579</v>
      </c>
      <c r="F74" s="3" t="s">
        <v>580</v>
      </c>
      <c r="G74" s="3" t="s">
        <v>581</v>
      </c>
      <c r="H74" s="3" t="s">
        <v>582</v>
      </c>
      <c r="I74" s="3" t="s">
        <v>583</v>
      </c>
      <c r="J74" s="2" t="s">
        <v>584</v>
      </c>
      <c r="K74" s="17"/>
    </row>
    <row r="75" spans="2:11" ht="16" x14ac:dyDescent="0.2">
      <c r="B75" s="45" t="s">
        <v>585</v>
      </c>
      <c r="C75" s="2" t="s">
        <v>586</v>
      </c>
      <c r="D75" s="3" t="s">
        <v>587</v>
      </c>
      <c r="E75" s="3" t="s">
        <v>588</v>
      </c>
      <c r="F75" s="3" t="s">
        <v>589</v>
      </c>
      <c r="G75" s="3" t="s">
        <v>590</v>
      </c>
      <c r="H75" s="3" t="s">
        <v>591</v>
      </c>
      <c r="I75" s="3" t="s">
        <v>592</v>
      </c>
      <c r="J75" s="2" t="s">
        <v>593</v>
      </c>
      <c r="K75" s="17"/>
    </row>
    <row r="76" spans="2:11" ht="16" x14ac:dyDescent="0.2">
      <c r="B76" s="45" t="s">
        <v>594</v>
      </c>
      <c r="C76" s="2" t="s">
        <v>595</v>
      </c>
      <c r="D76" s="3" t="s">
        <v>596</v>
      </c>
      <c r="E76" s="3" t="s">
        <v>597</v>
      </c>
      <c r="F76" s="3" t="s">
        <v>598</v>
      </c>
      <c r="G76" s="3" t="s">
        <v>599</v>
      </c>
      <c r="H76" s="3" t="s">
        <v>600</v>
      </c>
      <c r="I76" s="3" t="s">
        <v>601</v>
      </c>
      <c r="J76" s="2" t="s">
        <v>602</v>
      </c>
      <c r="K76" s="17"/>
    </row>
    <row r="77" spans="2:11" ht="16" x14ac:dyDescent="0.2">
      <c r="B77" s="45" t="s">
        <v>603</v>
      </c>
      <c r="C77" s="2" t="s">
        <v>604</v>
      </c>
      <c r="D77" s="3" t="s">
        <v>605</v>
      </c>
      <c r="E77" s="3" t="s">
        <v>606</v>
      </c>
      <c r="F77" s="3" t="s">
        <v>607</v>
      </c>
      <c r="G77" s="3" t="s">
        <v>608</v>
      </c>
      <c r="H77" s="3" t="s">
        <v>609</v>
      </c>
      <c r="I77" s="3" t="s">
        <v>610</v>
      </c>
      <c r="J77" s="2" t="s">
        <v>611</v>
      </c>
      <c r="K77" s="17"/>
    </row>
    <row r="78" spans="2:11" ht="16" x14ac:dyDescent="0.2">
      <c r="B78" s="45" t="s">
        <v>612</v>
      </c>
      <c r="C78" s="2" t="s">
        <v>613</v>
      </c>
      <c r="D78" s="3" t="s">
        <v>614</v>
      </c>
      <c r="E78" s="3" t="s">
        <v>615</v>
      </c>
      <c r="F78" s="3" t="s">
        <v>616</v>
      </c>
      <c r="G78" s="3" t="s">
        <v>617</v>
      </c>
      <c r="H78" s="3" t="s">
        <v>618</v>
      </c>
      <c r="I78" s="3" t="s">
        <v>619</v>
      </c>
      <c r="J78" s="2" t="s">
        <v>620</v>
      </c>
      <c r="K78" s="17"/>
    </row>
    <row r="79" spans="2:11" ht="16" x14ac:dyDescent="0.2">
      <c r="B79" s="45" t="s">
        <v>621</v>
      </c>
      <c r="C79" s="2" t="s">
        <v>622</v>
      </c>
      <c r="D79" s="3" t="s">
        <v>623</v>
      </c>
      <c r="E79" s="3" t="s">
        <v>624</v>
      </c>
      <c r="F79" s="3" t="s">
        <v>625</v>
      </c>
      <c r="G79" s="3" t="s">
        <v>626</v>
      </c>
      <c r="H79" s="3" t="s">
        <v>627</v>
      </c>
      <c r="I79" s="3" t="s">
        <v>628</v>
      </c>
      <c r="J79" s="2" t="s">
        <v>629</v>
      </c>
      <c r="K79" s="17"/>
    </row>
    <row r="80" spans="2:11" ht="16" x14ac:dyDescent="0.2">
      <c r="B80" s="45" t="s">
        <v>630</v>
      </c>
      <c r="C80" s="2" t="s">
        <v>631</v>
      </c>
      <c r="D80" s="3" t="s">
        <v>632</v>
      </c>
      <c r="E80" s="3" t="s">
        <v>633</v>
      </c>
      <c r="F80" s="3" t="s">
        <v>634</v>
      </c>
      <c r="G80" s="3" t="s">
        <v>635</v>
      </c>
      <c r="H80" s="3" t="s">
        <v>636</v>
      </c>
      <c r="I80" s="3" t="s">
        <v>637</v>
      </c>
      <c r="J80" s="2" t="s">
        <v>638</v>
      </c>
      <c r="K80" s="17"/>
    </row>
    <row r="81" spans="2:11" ht="48" x14ac:dyDescent="0.2">
      <c r="B81" s="45" t="s">
        <v>639</v>
      </c>
      <c r="C81" s="2" t="s">
        <v>640</v>
      </c>
      <c r="D81" s="3" t="s">
        <v>641</v>
      </c>
      <c r="E81" s="3" t="s">
        <v>642</v>
      </c>
      <c r="F81" s="3" t="s">
        <v>643</v>
      </c>
      <c r="G81" s="3" t="s">
        <v>644</v>
      </c>
      <c r="H81" s="3" t="s">
        <v>645</v>
      </c>
      <c r="I81" s="3" t="s">
        <v>646</v>
      </c>
      <c r="J81" s="2" t="s">
        <v>647</v>
      </c>
      <c r="K81" s="17"/>
    </row>
    <row r="82" spans="2:11" ht="16" x14ac:dyDescent="0.2">
      <c r="B82" s="45" t="s">
        <v>648</v>
      </c>
      <c r="C82" s="2" t="s">
        <v>649</v>
      </c>
      <c r="D82" s="3" t="s">
        <v>650</v>
      </c>
      <c r="E82" s="3" t="s">
        <v>651</v>
      </c>
      <c r="F82" s="3" t="s">
        <v>652</v>
      </c>
      <c r="G82" s="3" t="s">
        <v>653</v>
      </c>
      <c r="H82" s="3" t="s">
        <v>654</v>
      </c>
      <c r="I82" s="3" t="s">
        <v>655</v>
      </c>
      <c r="J82" s="2" t="s">
        <v>656</v>
      </c>
      <c r="K82" s="17"/>
    </row>
    <row r="83" spans="2:11" ht="16" x14ac:dyDescent="0.2">
      <c r="B83" s="45" t="s">
        <v>657</v>
      </c>
      <c r="C83" s="2" t="s">
        <v>658</v>
      </c>
      <c r="D83" s="3" t="s">
        <v>659</v>
      </c>
      <c r="E83" s="3" t="s">
        <v>660</v>
      </c>
      <c r="F83" s="3" t="s">
        <v>661</v>
      </c>
      <c r="G83" s="3" t="s">
        <v>662</v>
      </c>
      <c r="H83" s="3" t="s">
        <v>663</v>
      </c>
      <c r="I83" s="3" t="s">
        <v>664</v>
      </c>
      <c r="J83" s="2" t="s">
        <v>665</v>
      </c>
      <c r="K83" s="17"/>
    </row>
    <row r="84" spans="2:11" ht="16" x14ac:dyDescent="0.2">
      <c r="B84" s="45" t="s">
        <v>666</v>
      </c>
      <c r="C84" s="2" t="s">
        <v>667</v>
      </c>
      <c r="D84" s="3" t="s">
        <v>668</v>
      </c>
      <c r="E84" s="3" t="s">
        <v>669</v>
      </c>
      <c r="F84" s="3" t="s">
        <v>670</v>
      </c>
      <c r="G84" s="3" t="s">
        <v>671</v>
      </c>
      <c r="H84" s="3" t="s">
        <v>672</v>
      </c>
      <c r="I84" s="3" t="s">
        <v>673</v>
      </c>
      <c r="J84" s="2" t="s">
        <v>674</v>
      </c>
      <c r="K84" s="17"/>
    </row>
    <row r="85" spans="2:11" ht="15" customHeight="1" x14ac:dyDescent="0.2">
      <c r="B85" s="45" t="s">
        <v>675</v>
      </c>
      <c r="C85" s="3" t="s">
        <v>676</v>
      </c>
      <c r="D85" s="3" t="s">
        <v>677</v>
      </c>
      <c r="E85" s="3" t="s">
        <v>678</v>
      </c>
      <c r="F85" s="3" t="s">
        <v>679</v>
      </c>
      <c r="G85" s="3" t="s">
        <v>680</v>
      </c>
      <c r="H85" s="3" t="s">
        <v>681</v>
      </c>
      <c r="I85" s="3" t="s">
        <v>682</v>
      </c>
      <c r="J85" s="3" t="s">
        <v>683</v>
      </c>
      <c r="K85" s="17"/>
    </row>
    <row r="86" spans="2:11" ht="16" x14ac:dyDescent="0.2">
      <c r="B86" s="45" t="s">
        <v>684</v>
      </c>
      <c r="C86" s="3" t="s">
        <v>685</v>
      </c>
      <c r="D86" s="3" t="s">
        <v>686</v>
      </c>
      <c r="E86" s="3" t="s">
        <v>687</v>
      </c>
      <c r="F86" s="3" t="s">
        <v>688</v>
      </c>
      <c r="G86" s="3" t="s">
        <v>689</v>
      </c>
      <c r="H86" s="3" t="s">
        <v>690</v>
      </c>
      <c r="I86" s="3" t="s">
        <v>691</v>
      </c>
      <c r="J86" s="3" t="s">
        <v>692</v>
      </c>
      <c r="K86" s="17"/>
    </row>
    <row r="87" spans="2:11" ht="16" x14ac:dyDescent="0.2">
      <c r="B87" s="45" t="s">
        <v>693</v>
      </c>
      <c r="C87" s="3" t="s">
        <v>694</v>
      </c>
      <c r="D87" s="3" t="s">
        <v>695</v>
      </c>
      <c r="E87" s="3" t="s">
        <v>696</v>
      </c>
      <c r="F87" s="3" t="s">
        <v>697</v>
      </c>
      <c r="G87" s="3" t="s">
        <v>698</v>
      </c>
      <c r="H87" s="3" t="s">
        <v>699</v>
      </c>
      <c r="I87" s="3" t="s">
        <v>700</v>
      </c>
      <c r="J87" s="3" t="s">
        <v>701</v>
      </c>
      <c r="K87" s="17"/>
    </row>
    <row r="88" spans="2:11" ht="16" x14ac:dyDescent="0.2">
      <c r="B88" s="45" t="s">
        <v>702</v>
      </c>
      <c r="C88" s="3" t="s">
        <v>685</v>
      </c>
      <c r="D88" s="3" t="s">
        <v>686</v>
      </c>
      <c r="E88" s="3" t="s">
        <v>687</v>
      </c>
      <c r="F88" s="3" t="s">
        <v>688</v>
      </c>
      <c r="G88" s="3" t="s">
        <v>703</v>
      </c>
      <c r="H88" s="3" t="s">
        <v>690</v>
      </c>
      <c r="I88" s="3" t="s">
        <v>691</v>
      </c>
      <c r="J88" s="3" t="s">
        <v>692</v>
      </c>
      <c r="K88" s="17"/>
    </row>
    <row r="89" spans="2:11" ht="16" x14ac:dyDescent="0.2">
      <c r="B89" s="45" t="s">
        <v>704</v>
      </c>
      <c r="C89" s="3" t="s">
        <v>705</v>
      </c>
      <c r="D89" s="3" t="s">
        <v>706</v>
      </c>
      <c r="E89" s="3" t="s">
        <v>707</v>
      </c>
      <c r="F89" s="3" t="s">
        <v>708</v>
      </c>
      <c r="G89" s="3" t="s">
        <v>709</v>
      </c>
      <c r="H89" s="3" t="s">
        <v>710</v>
      </c>
      <c r="I89" s="3" t="s">
        <v>711</v>
      </c>
      <c r="J89" s="3" t="s">
        <v>712</v>
      </c>
      <c r="K89" s="17"/>
    </row>
    <row r="90" spans="2:11" ht="16" x14ac:dyDescent="0.2">
      <c r="B90" s="45" t="s">
        <v>713</v>
      </c>
      <c r="C90" s="3" t="s">
        <v>714</v>
      </c>
      <c r="D90" s="3" t="s">
        <v>715</v>
      </c>
      <c r="E90" s="3" t="s">
        <v>716</v>
      </c>
      <c r="F90" s="3" t="s">
        <v>717</v>
      </c>
      <c r="G90" s="3" t="s">
        <v>718</v>
      </c>
      <c r="H90" s="3" t="s">
        <v>719</v>
      </c>
      <c r="I90" s="3" t="s">
        <v>720</v>
      </c>
      <c r="J90" s="3" t="s">
        <v>721</v>
      </c>
      <c r="K90" s="17"/>
    </row>
    <row r="91" spans="2:11" ht="16" x14ac:dyDescent="0.2">
      <c r="B91" s="45" t="s">
        <v>722</v>
      </c>
      <c r="C91" s="3" t="s">
        <v>2</v>
      </c>
      <c r="D91" s="3" t="s">
        <v>723</v>
      </c>
      <c r="E91" s="3" t="s">
        <v>724</v>
      </c>
      <c r="F91" s="3" t="s">
        <v>725</v>
      </c>
      <c r="G91" s="3" t="s">
        <v>726</v>
      </c>
      <c r="H91" s="3" t="s">
        <v>727</v>
      </c>
      <c r="I91" s="3" t="s">
        <v>728</v>
      </c>
      <c r="J91" s="3" t="s">
        <v>729</v>
      </c>
      <c r="K91" s="17"/>
    </row>
    <row r="92" spans="2:11" ht="16" x14ac:dyDescent="0.2">
      <c r="B92" s="45" t="s">
        <v>730</v>
      </c>
      <c r="C92" s="3" t="s">
        <v>731</v>
      </c>
      <c r="D92" s="3" t="s">
        <v>732</v>
      </c>
      <c r="E92" s="3" t="s">
        <v>733</v>
      </c>
      <c r="F92" s="3" t="s">
        <v>734</v>
      </c>
      <c r="G92" s="3" t="s">
        <v>735</v>
      </c>
      <c r="H92" s="3" t="s">
        <v>736</v>
      </c>
      <c r="I92" s="3" t="s">
        <v>737</v>
      </c>
      <c r="J92" s="3" t="s">
        <v>738</v>
      </c>
      <c r="K92" s="17"/>
    </row>
    <row r="93" spans="2:11" ht="16" x14ac:dyDescent="0.2">
      <c r="B93" s="45" t="s">
        <v>739</v>
      </c>
      <c r="C93" s="3" t="s">
        <v>740</v>
      </c>
      <c r="D93" s="3" t="s">
        <v>741</v>
      </c>
      <c r="E93" s="3" t="s">
        <v>742</v>
      </c>
      <c r="F93" s="3" t="s">
        <v>743</v>
      </c>
      <c r="G93" s="3" t="s">
        <v>744</v>
      </c>
      <c r="H93" s="3" t="s">
        <v>745</v>
      </c>
      <c r="I93" s="3" t="s">
        <v>746</v>
      </c>
      <c r="J93" s="3" t="s">
        <v>747</v>
      </c>
      <c r="K93" s="17"/>
    </row>
    <row r="94" spans="2:11" ht="16" x14ac:dyDescent="0.2">
      <c r="B94" s="45" t="s">
        <v>748</v>
      </c>
      <c r="C94" s="3" t="s">
        <v>749</v>
      </c>
      <c r="D94" s="3" t="s">
        <v>750</v>
      </c>
      <c r="E94" s="3" t="s">
        <v>751</v>
      </c>
      <c r="F94" s="3" t="s">
        <v>752</v>
      </c>
      <c r="G94" s="3" t="s">
        <v>753</v>
      </c>
      <c r="H94" s="3" t="s">
        <v>754</v>
      </c>
      <c r="I94" s="3" t="s">
        <v>755</v>
      </c>
      <c r="J94" s="3" t="s">
        <v>756</v>
      </c>
      <c r="K94" s="17"/>
    </row>
    <row r="95" spans="2:11" ht="16" x14ac:dyDescent="0.2">
      <c r="B95" s="45" t="s">
        <v>757</v>
      </c>
      <c r="C95" s="3" t="s">
        <v>758</v>
      </c>
      <c r="D95" s="3" t="s">
        <v>759</v>
      </c>
      <c r="E95" s="3" t="s">
        <v>760</v>
      </c>
      <c r="F95" s="3" t="s">
        <v>761</v>
      </c>
      <c r="G95" s="3" t="s">
        <v>762</v>
      </c>
      <c r="H95" s="3" t="s">
        <v>763</v>
      </c>
      <c r="I95" s="3" t="s">
        <v>764</v>
      </c>
      <c r="J95" s="3" t="s">
        <v>765</v>
      </c>
      <c r="K95" s="17"/>
    </row>
    <row r="96" spans="2:11" ht="16" x14ac:dyDescent="0.2">
      <c r="B96" s="45" t="s">
        <v>766</v>
      </c>
      <c r="C96" s="3" t="s">
        <v>767</v>
      </c>
      <c r="D96" s="3" t="s">
        <v>768</v>
      </c>
      <c r="E96" s="3" t="s">
        <v>769</v>
      </c>
      <c r="F96" s="3" t="s">
        <v>770</v>
      </c>
      <c r="G96" s="3" t="s">
        <v>771</v>
      </c>
      <c r="H96" s="3" t="s">
        <v>772</v>
      </c>
      <c r="I96" s="3" t="s">
        <v>773</v>
      </c>
      <c r="J96" s="3" t="s">
        <v>774</v>
      </c>
      <c r="K96" s="17"/>
    </row>
    <row r="97" spans="2:11" ht="16" x14ac:dyDescent="0.2">
      <c r="B97" s="45" t="s">
        <v>775</v>
      </c>
      <c r="C97" s="3" t="s">
        <v>776</v>
      </c>
      <c r="D97" s="3" t="s">
        <v>777</v>
      </c>
      <c r="E97" s="3" t="s">
        <v>778</v>
      </c>
      <c r="F97" s="3" t="s">
        <v>779</v>
      </c>
      <c r="G97" s="3" t="s">
        <v>780</v>
      </c>
      <c r="H97" s="3" t="s">
        <v>781</v>
      </c>
      <c r="I97" s="3" t="s">
        <v>782</v>
      </c>
      <c r="J97" s="3" t="s">
        <v>783</v>
      </c>
      <c r="K97" s="17"/>
    </row>
    <row r="98" spans="2:11" ht="32" x14ac:dyDescent="0.2">
      <c r="B98" s="45" t="s">
        <v>784</v>
      </c>
      <c r="C98" s="3" t="s">
        <v>785</v>
      </c>
      <c r="D98" s="3" t="s">
        <v>786</v>
      </c>
      <c r="E98" s="3" t="s">
        <v>787</v>
      </c>
      <c r="F98" s="3" t="s">
        <v>788</v>
      </c>
      <c r="G98" s="3" t="s">
        <v>789</v>
      </c>
      <c r="H98" s="3" t="s">
        <v>790</v>
      </c>
      <c r="I98" s="3" t="s">
        <v>791</v>
      </c>
      <c r="J98" s="3" t="s">
        <v>792</v>
      </c>
      <c r="K98" s="17"/>
    </row>
    <row r="99" spans="2:11" ht="16" x14ac:dyDescent="0.2">
      <c r="B99" s="45" t="s">
        <v>793</v>
      </c>
      <c r="C99" s="3" t="s">
        <v>794</v>
      </c>
      <c r="D99" s="3" t="s">
        <v>795</v>
      </c>
      <c r="E99" s="3" t="s">
        <v>796</v>
      </c>
      <c r="F99" s="3" t="s">
        <v>797</v>
      </c>
      <c r="G99" s="3" t="s">
        <v>798</v>
      </c>
      <c r="H99" s="3" t="s">
        <v>799</v>
      </c>
      <c r="I99" s="3" t="s">
        <v>800</v>
      </c>
      <c r="J99" s="3" t="s">
        <v>801</v>
      </c>
      <c r="K99" s="17"/>
    </row>
    <row r="100" spans="2:11" ht="16" x14ac:dyDescent="0.2">
      <c r="B100" s="45" t="s">
        <v>802</v>
      </c>
      <c r="C100" s="3" t="s">
        <v>803</v>
      </c>
      <c r="D100" s="3" t="s">
        <v>804</v>
      </c>
      <c r="E100" s="3" t="s">
        <v>805</v>
      </c>
      <c r="F100" s="3" t="s">
        <v>806</v>
      </c>
      <c r="G100" s="3" t="s">
        <v>807</v>
      </c>
      <c r="H100" s="3" t="s">
        <v>808</v>
      </c>
      <c r="I100" s="3" t="s">
        <v>809</v>
      </c>
      <c r="J100" s="3" t="s">
        <v>810</v>
      </c>
      <c r="K100" s="17"/>
    </row>
    <row r="101" spans="2:11" ht="16" x14ac:dyDescent="0.2">
      <c r="B101" s="45" t="s">
        <v>811</v>
      </c>
      <c r="C101" s="3" t="s">
        <v>812</v>
      </c>
      <c r="D101" s="3" t="s">
        <v>813</v>
      </c>
      <c r="E101" s="3" t="s">
        <v>814</v>
      </c>
      <c r="F101" s="3" t="s">
        <v>815</v>
      </c>
      <c r="G101" s="3" t="s">
        <v>816</v>
      </c>
      <c r="H101" s="3" t="s">
        <v>817</v>
      </c>
      <c r="I101" s="3" t="s">
        <v>818</v>
      </c>
      <c r="J101" s="3" t="s">
        <v>819</v>
      </c>
      <c r="K101" s="17"/>
    </row>
    <row r="102" spans="2:11" ht="15" customHeight="1" x14ac:dyDescent="0.2">
      <c r="B102" s="45" t="s">
        <v>820</v>
      </c>
      <c r="C102" s="3" t="s">
        <v>821</v>
      </c>
      <c r="D102" s="3" t="s">
        <v>822</v>
      </c>
      <c r="E102" s="3" t="s">
        <v>823</v>
      </c>
      <c r="F102" s="3" t="s">
        <v>824</v>
      </c>
      <c r="G102" s="3" t="s">
        <v>825</v>
      </c>
      <c r="H102" s="3" t="s">
        <v>826</v>
      </c>
      <c r="I102" s="3" t="s">
        <v>827</v>
      </c>
      <c r="J102" s="3" t="s">
        <v>828</v>
      </c>
      <c r="K102" s="17"/>
    </row>
    <row r="103" spans="2:11" ht="16" x14ac:dyDescent="0.2">
      <c r="B103" s="45" t="s">
        <v>829</v>
      </c>
      <c r="C103" s="3" t="s">
        <v>794</v>
      </c>
      <c r="D103" s="3" t="s">
        <v>795</v>
      </c>
      <c r="E103" s="3" t="s">
        <v>796</v>
      </c>
      <c r="F103" s="3" t="s">
        <v>797</v>
      </c>
      <c r="G103" s="3" t="s">
        <v>798</v>
      </c>
      <c r="H103" s="3" t="s">
        <v>799</v>
      </c>
      <c r="I103" s="3" t="s">
        <v>830</v>
      </c>
      <c r="J103" s="3" t="s">
        <v>810</v>
      </c>
      <c r="K103" s="17"/>
    </row>
    <row r="104" spans="2:11" ht="16" x14ac:dyDescent="0.2">
      <c r="B104" s="45" t="s">
        <v>831</v>
      </c>
      <c r="C104" s="3" t="s">
        <v>832</v>
      </c>
      <c r="D104" s="3" t="s">
        <v>833</v>
      </c>
      <c r="E104" s="3" t="s">
        <v>834</v>
      </c>
      <c r="F104" s="3" t="s">
        <v>835</v>
      </c>
      <c r="G104" s="3" t="s">
        <v>836</v>
      </c>
      <c r="H104" s="3" t="s">
        <v>832</v>
      </c>
      <c r="I104" s="3" t="s">
        <v>837</v>
      </c>
      <c r="J104" s="3" t="s">
        <v>838</v>
      </c>
      <c r="K104" s="17"/>
    </row>
    <row r="105" spans="2:11" ht="16" x14ac:dyDescent="0.2">
      <c r="B105" s="45" t="s">
        <v>839</v>
      </c>
      <c r="C105" s="3" t="s">
        <v>794</v>
      </c>
      <c r="D105" s="3" t="s">
        <v>795</v>
      </c>
      <c r="E105" s="3" t="s">
        <v>796</v>
      </c>
      <c r="F105" s="3" t="s">
        <v>797</v>
      </c>
      <c r="G105" s="3" t="s">
        <v>840</v>
      </c>
      <c r="H105" s="3" t="s">
        <v>799</v>
      </c>
      <c r="I105" s="3" t="s">
        <v>830</v>
      </c>
      <c r="J105" s="3" t="s">
        <v>810</v>
      </c>
      <c r="K105" s="17"/>
    </row>
    <row r="106" spans="2:11" ht="16" x14ac:dyDescent="0.2">
      <c r="B106" s="45" t="s">
        <v>841</v>
      </c>
      <c r="C106" s="3" t="s">
        <v>842</v>
      </c>
      <c r="D106" s="3" t="s">
        <v>843</v>
      </c>
      <c r="E106" s="3" t="s">
        <v>844</v>
      </c>
      <c r="F106" s="3" t="s">
        <v>845</v>
      </c>
      <c r="G106" s="3" t="s">
        <v>846</v>
      </c>
      <c r="H106" s="3" t="s">
        <v>847</v>
      </c>
      <c r="I106" s="3" t="s">
        <v>848</v>
      </c>
      <c r="J106" s="3" t="s">
        <v>849</v>
      </c>
      <c r="K106" s="17"/>
    </row>
    <row r="107" spans="2:11" ht="16" x14ac:dyDescent="0.2">
      <c r="B107" s="45" t="s">
        <v>850</v>
      </c>
      <c r="C107" s="3" t="s">
        <v>3</v>
      </c>
      <c r="D107" s="3" t="s">
        <v>851</v>
      </c>
      <c r="E107" s="3" t="s">
        <v>852</v>
      </c>
      <c r="F107" s="3" t="s">
        <v>853</v>
      </c>
      <c r="G107" s="3" t="s">
        <v>854</v>
      </c>
      <c r="H107" s="3" t="s">
        <v>855</v>
      </c>
      <c r="I107" s="3" t="s">
        <v>856</v>
      </c>
      <c r="J107" s="3" t="s">
        <v>857</v>
      </c>
      <c r="K107" s="17"/>
    </row>
    <row r="108" spans="2:11" ht="16" x14ac:dyDescent="0.2">
      <c r="B108" s="45" t="s">
        <v>858</v>
      </c>
      <c r="C108" s="3" t="s">
        <v>859</v>
      </c>
      <c r="D108" s="3" t="s">
        <v>860</v>
      </c>
      <c r="E108" s="3" t="s">
        <v>861</v>
      </c>
      <c r="F108" s="3" t="s">
        <v>862</v>
      </c>
      <c r="G108" s="3" t="s">
        <v>863</v>
      </c>
      <c r="H108" s="3" t="s">
        <v>864</v>
      </c>
      <c r="I108" s="3" t="s">
        <v>865</v>
      </c>
      <c r="J108" s="3" t="s">
        <v>866</v>
      </c>
      <c r="K108" s="17"/>
    </row>
    <row r="109" spans="2:11" ht="16" x14ac:dyDescent="0.2">
      <c r="B109" s="45" t="s">
        <v>867</v>
      </c>
      <c r="C109" s="3" t="s">
        <v>868</v>
      </c>
      <c r="D109" s="3" t="s">
        <v>869</v>
      </c>
      <c r="E109" s="3" t="s">
        <v>870</v>
      </c>
      <c r="F109" s="3" t="s">
        <v>871</v>
      </c>
      <c r="G109" s="3" t="s">
        <v>872</v>
      </c>
      <c r="H109" s="3" t="s">
        <v>873</v>
      </c>
      <c r="I109" s="3" t="s">
        <v>874</v>
      </c>
      <c r="J109" s="3" t="s">
        <v>875</v>
      </c>
      <c r="K109" s="17"/>
    </row>
    <row r="110" spans="2:11" ht="16" x14ac:dyDescent="0.2">
      <c r="B110" s="45" t="s">
        <v>876</v>
      </c>
      <c r="C110" s="3" t="s">
        <v>794</v>
      </c>
      <c r="D110" s="3" t="s">
        <v>795</v>
      </c>
      <c r="E110" s="3" t="s">
        <v>877</v>
      </c>
      <c r="F110" s="3" t="s">
        <v>797</v>
      </c>
      <c r="G110" s="3" t="s">
        <v>798</v>
      </c>
      <c r="H110" s="3" t="s">
        <v>799</v>
      </c>
      <c r="I110" s="3" t="s">
        <v>830</v>
      </c>
      <c r="J110" s="3" t="s">
        <v>810</v>
      </c>
      <c r="K110" s="17"/>
    </row>
    <row r="111" spans="2:11" ht="16" x14ac:dyDescent="0.2">
      <c r="B111" s="45" t="s">
        <v>878</v>
      </c>
      <c r="C111" s="3" t="s">
        <v>879</v>
      </c>
      <c r="D111" s="3" t="s">
        <v>880</v>
      </c>
      <c r="E111" s="3" t="s">
        <v>881</v>
      </c>
      <c r="F111" s="3" t="s">
        <v>882</v>
      </c>
      <c r="G111" s="3" t="s">
        <v>883</v>
      </c>
      <c r="H111" s="3" t="s">
        <v>884</v>
      </c>
      <c r="I111" s="3" t="s">
        <v>885</v>
      </c>
      <c r="J111" s="3" t="s">
        <v>886</v>
      </c>
      <c r="K111" s="17"/>
    </row>
    <row r="112" spans="2:11" ht="16" x14ac:dyDescent="0.2">
      <c r="B112" s="45" t="s">
        <v>887</v>
      </c>
      <c r="C112" s="3" t="s">
        <v>4</v>
      </c>
      <c r="D112" s="3" t="s">
        <v>888</v>
      </c>
      <c r="E112" s="3" t="s">
        <v>889</v>
      </c>
      <c r="F112" s="3" t="s">
        <v>890</v>
      </c>
      <c r="G112" s="3" t="s">
        <v>891</v>
      </c>
      <c r="H112" s="3" t="s">
        <v>892</v>
      </c>
      <c r="I112" s="3" t="s">
        <v>893</v>
      </c>
      <c r="J112" s="3" t="s">
        <v>894</v>
      </c>
      <c r="K112" s="17"/>
    </row>
    <row r="113" spans="2:11" ht="16" x14ac:dyDescent="0.2">
      <c r="B113" s="45" t="s">
        <v>895</v>
      </c>
      <c r="C113" s="3" t="s">
        <v>896</v>
      </c>
      <c r="D113" s="3" t="s">
        <v>897</v>
      </c>
      <c r="E113" s="3" t="s">
        <v>898</v>
      </c>
      <c r="F113" s="3" t="s">
        <v>899</v>
      </c>
      <c r="G113" s="3" t="s">
        <v>900</v>
      </c>
      <c r="H113" s="3" t="s">
        <v>901</v>
      </c>
      <c r="I113" s="3" t="s">
        <v>902</v>
      </c>
      <c r="J113" s="3" t="s">
        <v>903</v>
      </c>
      <c r="K113" s="17"/>
    </row>
    <row r="114" spans="2:11" ht="16" x14ac:dyDescent="0.2">
      <c r="B114" s="45" t="s">
        <v>904</v>
      </c>
      <c r="C114" s="3" t="s">
        <v>905</v>
      </c>
      <c r="D114" s="3" t="s">
        <v>906</v>
      </c>
      <c r="E114" s="3" t="s">
        <v>907</v>
      </c>
      <c r="F114" s="3" t="s">
        <v>908</v>
      </c>
      <c r="G114" s="3" t="s">
        <v>909</v>
      </c>
      <c r="H114" s="3" t="s">
        <v>910</v>
      </c>
      <c r="I114" s="3" t="s">
        <v>911</v>
      </c>
      <c r="J114" s="3" t="s">
        <v>912</v>
      </c>
      <c r="K114" s="17"/>
    </row>
    <row r="115" spans="2:11" ht="16" x14ac:dyDescent="0.2">
      <c r="B115" s="45" t="s">
        <v>913</v>
      </c>
      <c r="C115" s="3" t="s">
        <v>914</v>
      </c>
      <c r="D115" s="3" t="s">
        <v>915</v>
      </c>
      <c r="E115" s="3" t="s">
        <v>916</v>
      </c>
      <c r="F115" s="3" t="s">
        <v>917</v>
      </c>
      <c r="G115" s="3" t="s">
        <v>918</v>
      </c>
      <c r="H115" s="3" t="s">
        <v>919</v>
      </c>
      <c r="I115" s="3" t="s">
        <v>920</v>
      </c>
      <c r="J115" s="3" t="s">
        <v>921</v>
      </c>
      <c r="K115" s="17"/>
    </row>
    <row r="116" spans="2:11" ht="32" x14ac:dyDescent="0.2">
      <c r="B116" s="45" t="s">
        <v>922</v>
      </c>
      <c r="C116" s="3" t="s">
        <v>923</v>
      </c>
      <c r="D116" s="3" t="s">
        <v>924</v>
      </c>
      <c r="E116" s="3" t="s">
        <v>925</v>
      </c>
      <c r="F116" s="3" t="s">
        <v>926</v>
      </c>
      <c r="G116" s="3" t="s">
        <v>927</v>
      </c>
      <c r="H116" s="3" t="s">
        <v>928</v>
      </c>
      <c r="I116" s="3" t="s">
        <v>929</v>
      </c>
      <c r="J116" s="100" t="s">
        <v>930</v>
      </c>
      <c r="K116" s="17"/>
    </row>
    <row r="117" spans="2:11" ht="16" x14ac:dyDescent="0.2">
      <c r="B117" s="45" t="s">
        <v>931</v>
      </c>
      <c r="C117" s="3" t="s">
        <v>932</v>
      </c>
      <c r="D117" s="3" t="s">
        <v>933</v>
      </c>
      <c r="E117" s="3" t="s">
        <v>934</v>
      </c>
      <c r="F117" s="3" t="s">
        <v>935</v>
      </c>
      <c r="G117" s="3" t="s">
        <v>936</v>
      </c>
      <c r="H117" s="3" t="s">
        <v>937</v>
      </c>
      <c r="I117" s="3" t="s">
        <v>938</v>
      </c>
      <c r="J117" s="3" t="s">
        <v>939</v>
      </c>
      <c r="K117" s="17"/>
    </row>
    <row r="118" spans="2:11" ht="16" x14ac:dyDescent="0.2">
      <c r="B118" s="45" t="s">
        <v>940</v>
      </c>
      <c r="C118" s="3" t="s">
        <v>941</v>
      </c>
      <c r="D118" s="3" t="s">
        <v>942</v>
      </c>
      <c r="E118" s="3" t="s">
        <v>943</v>
      </c>
      <c r="F118" s="3" t="s">
        <v>944</v>
      </c>
      <c r="G118" s="3" t="s">
        <v>945</v>
      </c>
      <c r="H118" s="3" t="s">
        <v>946</v>
      </c>
      <c r="I118" s="3" t="s">
        <v>947</v>
      </c>
      <c r="J118" s="3" t="s">
        <v>948</v>
      </c>
      <c r="K118" s="17"/>
    </row>
    <row r="119" spans="2:11" ht="16" x14ac:dyDescent="0.2">
      <c r="B119" s="49" t="s">
        <v>949</v>
      </c>
      <c r="C119" s="2" t="s">
        <v>5</v>
      </c>
      <c r="D119" s="3" t="s">
        <v>950</v>
      </c>
      <c r="E119" s="4" t="s">
        <v>951</v>
      </c>
      <c r="F119" s="4" t="s">
        <v>952</v>
      </c>
      <c r="G119" s="4" t="s">
        <v>953</v>
      </c>
      <c r="H119" s="4" t="s">
        <v>954</v>
      </c>
      <c r="I119" s="4" t="s">
        <v>955</v>
      </c>
      <c r="J119" s="2" t="s">
        <v>956</v>
      </c>
      <c r="K119" s="17"/>
    </row>
    <row r="120" spans="2:11" ht="16" x14ac:dyDescent="0.2">
      <c r="B120" s="49" t="s">
        <v>957</v>
      </c>
      <c r="C120" s="2" t="s">
        <v>958</v>
      </c>
      <c r="D120" s="3" t="s">
        <v>959</v>
      </c>
      <c r="E120" s="4" t="s">
        <v>960</v>
      </c>
      <c r="F120" s="4" t="s">
        <v>961</v>
      </c>
      <c r="G120" s="4" t="s">
        <v>962</v>
      </c>
      <c r="H120" s="4" t="s">
        <v>963</v>
      </c>
      <c r="I120" s="4" t="s">
        <v>964</v>
      </c>
      <c r="J120" s="2" t="s">
        <v>965</v>
      </c>
      <c r="K120" s="17"/>
    </row>
    <row r="121" spans="2:11" ht="16" x14ac:dyDescent="0.2">
      <c r="B121" s="49" t="s">
        <v>966</v>
      </c>
      <c r="C121" s="2" t="s">
        <v>967</v>
      </c>
      <c r="D121" s="3" t="s">
        <v>968</v>
      </c>
      <c r="E121" s="4" t="s">
        <v>969</v>
      </c>
      <c r="F121" s="4" t="s">
        <v>970</v>
      </c>
      <c r="G121" s="4" t="s">
        <v>971</v>
      </c>
      <c r="H121" s="4" t="s">
        <v>972</v>
      </c>
      <c r="I121" s="4" t="s">
        <v>973</v>
      </c>
      <c r="J121" s="2" t="s">
        <v>974</v>
      </c>
      <c r="K121" s="17"/>
    </row>
    <row r="122" spans="2:11" ht="16" x14ac:dyDescent="0.2">
      <c r="B122" s="49" t="s">
        <v>975</v>
      </c>
      <c r="C122" s="2" t="s">
        <v>976</v>
      </c>
      <c r="D122" s="3" t="s">
        <v>977</v>
      </c>
      <c r="E122" s="4" t="s">
        <v>978</v>
      </c>
      <c r="F122" s="4" t="s">
        <v>979</v>
      </c>
      <c r="G122" s="4" t="s">
        <v>980</v>
      </c>
      <c r="H122" s="4" t="s">
        <v>981</v>
      </c>
      <c r="I122" s="4" t="s">
        <v>982</v>
      </c>
      <c r="J122" s="2" t="s">
        <v>983</v>
      </c>
      <c r="K122" s="17"/>
    </row>
    <row r="123" spans="2:11" ht="16" x14ac:dyDescent="0.2">
      <c r="B123" s="49" t="s">
        <v>984</v>
      </c>
      <c r="C123" s="2" t="s">
        <v>985</v>
      </c>
      <c r="D123" s="3" t="s">
        <v>986</v>
      </c>
      <c r="E123" s="4" t="s">
        <v>987</v>
      </c>
      <c r="F123" s="4" t="s">
        <v>988</v>
      </c>
      <c r="G123" s="4" t="s">
        <v>989</v>
      </c>
      <c r="H123" s="4" t="s">
        <v>990</v>
      </c>
      <c r="I123" s="4" t="s">
        <v>991</v>
      </c>
      <c r="J123" s="2" t="s">
        <v>992</v>
      </c>
      <c r="K123" s="17"/>
    </row>
    <row r="124" spans="2:11" ht="16" x14ac:dyDescent="0.2">
      <c r="B124" s="49" t="s">
        <v>993</v>
      </c>
      <c r="C124" s="2" t="s">
        <v>994</v>
      </c>
      <c r="D124" s="3" t="s">
        <v>995</v>
      </c>
      <c r="E124" s="4" t="s">
        <v>996</v>
      </c>
      <c r="F124" s="4" t="s">
        <v>997</v>
      </c>
      <c r="G124" s="4" t="s">
        <v>998</v>
      </c>
      <c r="H124" s="4" t="s">
        <v>999</v>
      </c>
      <c r="I124" s="4" t="s">
        <v>1000</v>
      </c>
      <c r="J124" s="2" t="s">
        <v>1001</v>
      </c>
      <c r="K124" s="17"/>
    </row>
    <row r="125" spans="2:11" ht="16" x14ac:dyDescent="0.2">
      <c r="B125" s="49" t="s">
        <v>1002</v>
      </c>
      <c r="C125" s="2" t="s">
        <v>1003</v>
      </c>
      <c r="D125" s="3" t="s">
        <v>1004</v>
      </c>
      <c r="E125" s="4" t="s">
        <v>1005</v>
      </c>
      <c r="F125" s="4" t="s">
        <v>1006</v>
      </c>
      <c r="G125" s="4" t="s">
        <v>1007</v>
      </c>
      <c r="H125" s="4" t="s">
        <v>1008</v>
      </c>
      <c r="I125" s="4" t="s">
        <v>1009</v>
      </c>
      <c r="J125" s="2" t="s">
        <v>1010</v>
      </c>
      <c r="K125" s="17"/>
    </row>
    <row r="126" spans="2:11" ht="16" x14ac:dyDescent="0.2">
      <c r="B126" s="49" t="s">
        <v>1011</v>
      </c>
      <c r="C126" s="2" t="s">
        <v>1012</v>
      </c>
      <c r="D126" s="3" t="s">
        <v>1013</v>
      </c>
      <c r="E126" s="4" t="s">
        <v>1014</v>
      </c>
      <c r="F126" s="4" t="s">
        <v>1015</v>
      </c>
      <c r="G126" s="4" t="s">
        <v>1016</v>
      </c>
      <c r="H126" s="4" t="s">
        <v>1017</v>
      </c>
      <c r="I126" s="4" t="s">
        <v>1018</v>
      </c>
      <c r="J126" s="2" t="s">
        <v>1019</v>
      </c>
      <c r="K126" s="17"/>
    </row>
    <row r="127" spans="2:11" ht="16" x14ac:dyDescent="0.2">
      <c r="B127" s="45" t="s">
        <v>1020</v>
      </c>
      <c r="C127" s="2" t="s">
        <v>1021</v>
      </c>
      <c r="D127" s="3" t="s">
        <v>1022</v>
      </c>
      <c r="E127" s="4" t="s">
        <v>1023</v>
      </c>
      <c r="F127" s="4" t="s">
        <v>1024</v>
      </c>
      <c r="G127" s="4" t="s">
        <v>1025</v>
      </c>
      <c r="H127" s="4" t="s">
        <v>1026</v>
      </c>
      <c r="I127" s="4" t="s">
        <v>1027</v>
      </c>
      <c r="J127" s="2" t="s">
        <v>1028</v>
      </c>
      <c r="K127" s="17"/>
    </row>
    <row r="128" spans="2:11" ht="16" x14ac:dyDescent="0.2">
      <c r="B128" s="45" t="s">
        <v>1029</v>
      </c>
      <c r="C128" s="2" t="s">
        <v>1030</v>
      </c>
      <c r="D128" s="3" t="s">
        <v>1031</v>
      </c>
      <c r="E128" s="4" t="s">
        <v>1032</v>
      </c>
      <c r="F128" s="4" t="s">
        <v>1033</v>
      </c>
      <c r="G128" s="4" t="s">
        <v>1034</v>
      </c>
      <c r="H128" s="4" t="s">
        <v>1035</v>
      </c>
      <c r="I128" s="4" t="s">
        <v>1036</v>
      </c>
      <c r="J128" s="2" t="s">
        <v>1037</v>
      </c>
      <c r="K128" s="17"/>
    </row>
    <row r="129" spans="2:11" ht="16" x14ac:dyDescent="0.2">
      <c r="B129" s="45" t="s">
        <v>1038</v>
      </c>
      <c r="C129" s="2" t="s">
        <v>1039</v>
      </c>
      <c r="D129" s="3" t="s">
        <v>1040</v>
      </c>
      <c r="E129" s="4" t="s">
        <v>1041</v>
      </c>
      <c r="F129" s="4" t="s">
        <v>1042</v>
      </c>
      <c r="G129" s="4" t="s">
        <v>1043</v>
      </c>
      <c r="H129" s="4" t="s">
        <v>1044</v>
      </c>
      <c r="I129" s="4" t="s">
        <v>1045</v>
      </c>
      <c r="J129" s="2" t="s">
        <v>1046</v>
      </c>
      <c r="K129" s="17"/>
    </row>
    <row r="130" spans="2:11" ht="16" x14ac:dyDescent="0.2">
      <c r="B130" s="45" t="s">
        <v>1047</v>
      </c>
      <c r="C130" s="2" t="s">
        <v>1048</v>
      </c>
      <c r="D130" s="3" t="s">
        <v>1049</v>
      </c>
      <c r="E130" s="4" t="s">
        <v>1050</v>
      </c>
      <c r="F130" s="4" t="s">
        <v>1051</v>
      </c>
      <c r="G130" s="4" t="s">
        <v>1052</v>
      </c>
      <c r="H130" s="4" t="s">
        <v>1053</v>
      </c>
      <c r="I130" s="4" t="s">
        <v>1054</v>
      </c>
      <c r="J130" s="2" t="s">
        <v>1055</v>
      </c>
      <c r="K130" s="17"/>
    </row>
    <row r="131" spans="2:11" ht="16" x14ac:dyDescent="0.2">
      <c r="B131" s="45" t="s">
        <v>1056</v>
      </c>
      <c r="C131" s="2" t="s">
        <v>1057</v>
      </c>
      <c r="D131" s="3" t="s">
        <v>1058</v>
      </c>
      <c r="E131" s="4" t="s">
        <v>1059</v>
      </c>
      <c r="F131" s="4" t="s">
        <v>1060</v>
      </c>
      <c r="G131" s="4" t="s">
        <v>1061</v>
      </c>
      <c r="H131" s="4" t="s">
        <v>1062</v>
      </c>
      <c r="I131" s="4" t="s">
        <v>1063</v>
      </c>
      <c r="J131" s="2" t="s">
        <v>1064</v>
      </c>
      <c r="K131" s="17"/>
    </row>
    <row r="132" spans="2:11" ht="16" x14ac:dyDescent="0.2">
      <c r="B132" s="45" t="s">
        <v>1065</v>
      </c>
      <c r="C132" s="2" t="s">
        <v>1066</v>
      </c>
      <c r="D132" s="3" t="s">
        <v>1067</v>
      </c>
      <c r="E132" s="4" t="s">
        <v>1068</v>
      </c>
      <c r="F132" s="4" t="s">
        <v>1069</v>
      </c>
      <c r="G132" s="4" t="s">
        <v>1070</v>
      </c>
      <c r="H132" s="4" t="s">
        <v>1071</v>
      </c>
      <c r="I132" s="4" t="s">
        <v>1072</v>
      </c>
      <c r="J132" s="2" t="s">
        <v>1073</v>
      </c>
      <c r="K132" s="17"/>
    </row>
    <row r="133" spans="2:11" ht="16" x14ac:dyDescent="0.2">
      <c r="B133" s="45" t="s">
        <v>1074</v>
      </c>
      <c r="C133" s="2" t="s">
        <v>1075</v>
      </c>
      <c r="D133" s="3" t="s">
        <v>1076</v>
      </c>
      <c r="E133" s="4" t="s">
        <v>1077</v>
      </c>
      <c r="F133" s="4" t="s">
        <v>1078</v>
      </c>
      <c r="G133" s="4" t="s">
        <v>1079</v>
      </c>
      <c r="H133" s="4" t="s">
        <v>1080</v>
      </c>
      <c r="I133" s="4" t="s">
        <v>1081</v>
      </c>
      <c r="J133" s="100" t="s">
        <v>1082</v>
      </c>
      <c r="K133" s="17"/>
    </row>
    <row r="134" spans="2:11" ht="16" x14ac:dyDescent="0.2">
      <c r="B134" s="45" t="s">
        <v>1083</v>
      </c>
      <c r="C134" s="2" t="s">
        <v>1084</v>
      </c>
      <c r="D134" s="3" t="s">
        <v>1085</v>
      </c>
      <c r="E134" s="4" t="s">
        <v>1086</v>
      </c>
      <c r="F134" s="4" t="s">
        <v>1087</v>
      </c>
      <c r="G134" s="4" t="s">
        <v>1088</v>
      </c>
      <c r="H134" s="4" t="s">
        <v>1089</v>
      </c>
      <c r="I134" s="4" t="s">
        <v>1090</v>
      </c>
      <c r="J134" s="2" t="s">
        <v>1091</v>
      </c>
      <c r="K134" s="17"/>
    </row>
    <row r="135" spans="2:11" ht="16" x14ac:dyDescent="0.2">
      <c r="B135" s="49" t="s">
        <v>1092</v>
      </c>
      <c r="C135" s="2" t="s">
        <v>1093</v>
      </c>
      <c r="D135" s="3" t="s">
        <v>1094</v>
      </c>
      <c r="E135" s="4" t="s">
        <v>1095</v>
      </c>
      <c r="F135" s="4" t="s">
        <v>1096</v>
      </c>
      <c r="G135" s="4" t="s">
        <v>1097</v>
      </c>
      <c r="H135" s="4" t="s">
        <v>1098</v>
      </c>
      <c r="I135" s="4" t="s">
        <v>1099</v>
      </c>
      <c r="J135" s="2" t="s">
        <v>1100</v>
      </c>
      <c r="K135" s="17"/>
    </row>
    <row r="136" spans="2:11" ht="16" x14ac:dyDescent="0.2">
      <c r="B136" s="49" t="s">
        <v>1101</v>
      </c>
      <c r="C136" s="2" t="s">
        <v>6</v>
      </c>
      <c r="D136" s="3" t="s">
        <v>1102</v>
      </c>
      <c r="E136" s="4" t="s">
        <v>1103</v>
      </c>
      <c r="F136" s="4" t="s">
        <v>1104</v>
      </c>
      <c r="G136" s="4" t="s">
        <v>1105</v>
      </c>
      <c r="H136" s="4" t="s">
        <v>1106</v>
      </c>
      <c r="I136" s="4" t="s">
        <v>1107</v>
      </c>
      <c r="J136" s="2" t="s">
        <v>1108</v>
      </c>
      <c r="K136" s="17"/>
    </row>
    <row r="137" spans="2:11" ht="16" x14ac:dyDescent="0.2">
      <c r="B137" s="49" t="s">
        <v>1109</v>
      </c>
      <c r="C137" s="2" t="s">
        <v>1110</v>
      </c>
      <c r="D137" s="3" t="s">
        <v>1111</v>
      </c>
      <c r="E137" s="4" t="s">
        <v>1112</v>
      </c>
      <c r="F137" s="4" t="s">
        <v>1113</v>
      </c>
      <c r="G137" s="4" t="s">
        <v>1114</v>
      </c>
      <c r="H137" s="4" t="s">
        <v>1115</v>
      </c>
      <c r="I137" s="4" t="s">
        <v>1116</v>
      </c>
      <c r="J137" s="2" t="s">
        <v>1117</v>
      </c>
      <c r="K137" s="17"/>
    </row>
    <row r="138" spans="2:11" ht="16" x14ac:dyDescent="0.2">
      <c r="B138" s="49" t="s">
        <v>1118</v>
      </c>
      <c r="C138" s="2" t="s">
        <v>1119</v>
      </c>
      <c r="D138" s="3" t="s">
        <v>1120</v>
      </c>
      <c r="E138" s="4" t="s">
        <v>1121</v>
      </c>
      <c r="F138" s="4" t="s">
        <v>1122</v>
      </c>
      <c r="G138" s="4" t="s">
        <v>1123</v>
      </c>
      <c r="H138" s="4" t="s">
        <v>1124</v>
      </c>
      <c r="I138" s="4" t="s">
        <v>1125</v>
      </c>
      <c r="J138" s="2" t="s">
        <v>1126</v>
      </c>
      <c r="K138" s="17"/>
    </row>
    <row r="139" spans="2:11" ht="16" x14ac:dyDescent="0.2">
      <c r="B139" s="49" t="s">
        <v>1127</v>
      </c>
      <c r="C139" s="2" t="s">
        <v>1128</v>
      </c>
      <c r="D139" s="3" t="s">
        <v>1129</v>
      </c>
      <c r="E139" s="4" t="s">
        <v>1130</v>
      </c>
      <c r="F139" s="4" t="s">
        <v>1131</v>
      </c>
      <c r="G139" s="4" t="s">
        <v>1132</v>
      </c>
      <c r="H139" s="4" t="s">
        <v>1133</v>
      </c>
      <c r="I139" s="4" t="s">
        <v>1134</v>
      </c>
      <c r="J139" s="2" t="s">
        <v>1135</v>
      </c>
      <c r="K139" s="17"/>
    </row>
    <row r="140" spans="2:11" ht="16" x14ac:dyDescent="0.2">
      <c r="B140" s="49" t="s">
        <v>1136</v>
      </c>
      <c r="C140" s="2" t="s">
        <v>1137</v>
      </c>
      <c r="D140" s="3" t="s">
        <v>1138</v>
      </c>
      <c r="E140" s="4" t="s">
        <v>1139</v>
      </c>
      <c r="F140" s="4" t="s">
        <v>1140</v>
      </c>
      <c r="G140" s="4" t="s">
        <v>1141</v>
      </c>
      <c r="H140" s="4" t="s">
        <v>1142</v>
      </c>
      <c r="I140" s="4" t="s">
        <v>1143</v>
      </c>
      <c r="J140" s="2" t="s">
        <v>1144</v>
      </c>
      <c r="K140" s="17"/>
    </row>
    <row r="141" spans="2:11" ht="16" x14ac:dyDescent="0.2">
      <c r="B141" s="49" t="s">
        <v>1145</v>
      </c>
      <c r="C141" s="2" t="s">
        <v>1146</v>
      </c>
      <c r="D141" s="3" t="s">
        <v>1147</v>
      </c>
      <c r="E141" s="4" t="s">
        <v>1148</v>
      </c>
      <c r="F141" s="4" t="s">
        <v>1149</v>
      </c>
      <c r="G141" s="4" t="s">
        <v>1150</v>
      </c>
      <c r="H141" s="4" t="s">
        <v>1151</v>
      </c>
      <c r="I141" s="4" t="s">
        <v>1152</v>
      </c>
      <c r="J141" s="2" t="s">
        <v>1153</v>
      </c>
      <c r="K141" s="17"/>
    </row>
    <row r="142" spans="2:11" ht="16" x14ac:dyDescent="0.2">
      <c r="B142" s="45" t="s">
        <v>1154</v>
      </c>
      <c r="C142" s="2" t="s">
        <v>1155</v>
      </c>
      <c r="D142" s="3" t="s">
        <v>1156</v>
      </c>
      <c r="E142" s="4" t="s">
        <v>1157</v>
      </c>
      <c r="F142" s="4" t="s">
        <v>1158</v>
      </c>
      <c r="G142" s="4" t="s">
        <v>1159</v>
      </c>
      <c r="H142" s="4" t="s">
        <v>1160</v>
      </c>
      <c r="I142" s="4" t="s">
        <v>1161</v>
      </c>
      <c r="J142" s="2" t="s">
        <v>1162</v>
      </c>
      <c r="K142" s="17"/>
    </row>
    <row r="143" spans="2:11" ht="32" x14ac:dyDescent="0.2">
      <c r="B143" s="45" t="s">
        <v>1163</v>
      </c>
      <c r="C143" s="2" t="s">
        <v>1164</v>
      </c>
      <c r="D143" s="3" t="s">
        <v>1165</v>
      </c>
      <c r="E143" s="4" t="s">
        <v>1166</v>
      </c>
      <c r="F143" s="86" t="s">
        <v>1167</v>
      </c>
      <c r="G143" s="4" t="s">
        <v>1168</v>
      </c>
      <c r="H143" s="4" t="s">
        <v>1169</v>
      </c>
      <c r="I143" s="4" t="s">
        <v>1170</v>
      </c>
      <c r="J143" s="2" t="s">
        <v>1171</v>
      </c>
      <c r="K143" s="17"/>
    </row>
    <row r="144" spans="2:11" ht="32" x14ac:dyDescent="0.2">
      <c r="B144" s="45" t="s">
        <v>1172</v>
      </c>
      <c r="C144" s="3" t="s">
        <v>1173</v>
      </c>
      <c r="D144" s="3" t="s">
        <v>1174</v>
      </c>
      <c r="E144" s="3" t="s">
        <v>1175</v>
      </c>
      <c r="F144" s="85" t="s">
        <v>1176</v>
      </c>
      <c r="G144" s="85" t="s">
        <v>1177</v>
      </c>
      <c r="H144" s="85" t="s">
        <v>1178</v>
      </c>
      <c r="I144" s="3" t="s">
        <v>1179</v>
      </c>
      <c r="J144" s="3" t="s">
        <v>1180</v>
      </c>
      <c r="K144" s="17"/>
    </row>
    <row r="145" spans="2:11" ht="16" x14ac:dyDescent="0.2">
      <c r="B145" s="45" t="s">
        <v>1181</v>
      </c>
      <c r="C145" s="2" t="s">
        <v>1182</v>
      </c>
      <c r="D145" s="3" t="s">
        <v>1183</v>
      </c>
      <c r="E145" s="4" t="s">
        <v>1184</v>
      </c>
      <c r="F145" s="4" t="s">
        <v>1185</v>
      </c>
      <c r="G145" s="4" t="s">
        <v>1186</v>
      </c>
      <c r="H145" s="4" t="s">
        <v>1187</v>
      </c>
      <c r="I145" s="4" t="s">
        <v>1188</v>
      </c>
      <c r="J145" s="2" t="s">
        <v>1189</v>
      </c>
      <c r="K145" s="17"/>
    </row>
    <row r="146" spans="2:11" ht="32" x14ac:dyDescent="0.2">
      <c r="B146" s="45" t="s">
        <v>1190</v>
      </c>
      <c r="C146" s="2" t="s">
        <v>1191</v>
      </c>
      <c r="D146" s="3" t="s">
        <v>1192</v>
      </c>
      <c r="E146" s="3" t="s">
        <v>1193</v>
      </c>
      <c r="F146" s="85" t="s">
        <v>1194</v>
      </c>
      <c r="G146" s="85" t="s">
        <v>1195</v>
      </c>
      <c r="H146" s="85" t="s">
        <v>1196</v>
      </c>
      <c r="I146" s="4" t="s">
        <v>1197</v>
      </c>
      <c r="J146" s="2" t="s">
        <v>1198</v>
      </c>
      <c r="K146" s="17"/>
    </row>
    <row r="147" spans="2:11" ht="16" x14ac:dyDescent="0.2">
      <c r="B147" s="49" t="s">
        <v>1199</v>
      </c>
      <c r="C147" s="2" t="s">
        <v>1200</v>
      </c>
      <c r="D147" s="3" t="s">
        <v>1201</v>
      </c>
      <c r="E147" s="4" t="s">
        <v>1202</v>
      </c>
      <c r="F147" s="4" t="s">
        <v>1203</v>
      </c>
      <c r="G147" s="4" t="s">
        <v>1204</v>
      </c>
      <c r="H147" s="4" t="s">
        <v>1205</v>
      </c>
      <c r="I147" s="4" t="s">
        <v>1206</v>
      </c>
      <c r="J147" s="2" t="s">
        <v>1207</v>
      </c>
      <c r="K147" s="17"/>
    </row>
    <row r="148" spans="2:11" ht="16" x14ac:dyDescent="0.2">
      <c r="B148" s="49" t="s">
        <v>1208</v>
      </c>
      <c r="C148" s="2" t="s">
        <v>8</v>
      </c>
      <c r="D148" s="3" t="s">
        <v>1209</v>
      </c>
      <c r="E148" s="4" t="s">
        <v>1210</v>
      </c>
      <c r="F148" s="4" t="s">
        <v>1211</v>
      </c>
      <c r="G148" s="4" t="s">
        <v>1212</v>
      </c>
      <c r="H148" s="4" t="s">
        <v>1213</v>
      </c>
      <c r="I148" s="4" t="s">
        <v>1214</v>
      </c>
      <c r="J148" s="2" t="s">
        <v>1215</v>
      </c>
      <c r="K148" s="17"/>
    </row>
    <row r="149" spans="2:11" ht="16" x14ac:dyDescent="0.2">
      <c r="B149" s="49" t="s">
        <v>1216</v>
      </c>
      <c r="C149" s="2" t="s">
        <v>1217</v>
      </c>
      <c r="D149" s="3" t="s">
        <v>1218</v>
      </c>
      <c r="E149" s="4" t="s">
        <v>1219</v>
      </c>
      <c r="F149" s="4" t="s">
        <v>1220</v>
      </c>
      <c r="G149" s="4" t="s">
        <v>1221</v>
      </c>
      <c r="H149" s="4" t="s">
        <v>1222</v>
      </c>
      <c r="I149" s="4" t="s">
        <v>1223</v>
      </c>
      <c r="J149" s="2" t="s">
        <v>1224</v>
      </c>
      <c r="K149" s="17"/>
    </row>
    <row r="150" spans="2:11" ht="16" x14ac:dyDescent="0.2">
      <c r="B150" s="49" t="s">
        <v>1225</v>
      </c>
      <c r="C150" s="2" t="s">
        <v>1226</v>
      </c>
      <c r="D150" s="3" t="s">
        <v>1227</v>
      </c>
      <c r="E150" s="4" t="s">
        <v>1228</v>
      </c>
      <c r="F150" s="4" t="s">
        <v>1229</v>
      </c>
      <c r="G150" s="4" t="s">
        <v>1230</v>
      </c>
      <c r="H150" s="4" t="s">
        <v>1231</v>
      </c>
      <c r="I150" s="4" t="s">
        <v>1232</v>
      </c>
      <c r="J150" s="2" t="s">
        <v>1233</v>
      </c>
      <c r="K150" s="17"/>
    </row>
    <row r="151" spans="2:11" ht="16" x14ac:dyDescent="0.2">
      <c r="B151" s="49" t="s">
        <v>1234</v>
      </c>
      <c r="C151" s="2" t="s">
        <v>1235</v>
      </c>
      <c r="D151" s="3" t="s">
        <v>1236</v>
      </c>
      <c r="E151" s="4" t="s">
        <v>1237</v>
      </c>
      <c r="F151" s="4" t="s">
        <v>1238</v>
      </c>
      <c r="G151" s="4" t="s">
        <v>1239</v>
      </c>
      <c r="H151" s="4" t="s">
        <v>1240</v>
      </c>
      <c r="I151" s="4" t="s">
        <v>1241</v>
      </c>
      <c r="J151" s="2" t="s">
        <v>1242</v>
      </c>
      <c r="K151" s="17"/>
    </row>
    <row r="152" spans="2:11" ht="16" x14ac:dyDescent="0.2">
      <c r="B152" s="49" t="s">
        <v>1243</v>
      </c>
      <c r="C152" s="2" t="s">
        <v>1244</v>
      </c>
      <c r="D152" s="3" t="s">
        <v>1245</v>
      </c>
      <c r="E152" s="4" t="s">
        <v>1246</v>
      </c>
      <c r="F152" s="4" t="s">
        <v>1247</v>
      </c>
      <c r="G152" s="4" t="s">
        <v>1248</v>
      </c>
      <c r="H152" s="4" t="s">
        <v>1249</v>
      </c>
      <c r="I152" s="4" t="s">
        <v>1250</v>
      </c>
      <c r="J152" s="2" t="s">
        <v>1251</v>
      </c>
      <c r="K152" s="17"/>
    </row>
    <row r="153" spans="2:11" ht="16" x14ac:dyDescent="0.2">
      <c r="B153" s="49" t="s">
        <v>1252</v>
      </c>
      <c r="C153" s="2" t="s">
        <v>1253</v>
      </c>
      <c r="D153" s="3" t="s">
        <v>1254</v>
      </c>
      <c r="E153" s="4" t="s">
        <v>1255</v>
      </c>
      <c r="F153" s="4" t="s">
        <v>1256</v>
      </c>
      <c r="G153" s="4" t="s">
        <v>1257</v>
      </c>
      <c r="H153" s="4" t="s">
        <v>1258</v>
      </c>
      <c r="I153" s="4" t="s">
        <v>1259</v>
      </c>
      <c r="J153" s="2" t="s">
        <v>1260</v>
      </c>
      <c r="K153" s="17"/>
    </row>
    <row r="154" spans="2:11" ht="16" x14ac:dyDescent="0.2">
      <c r="B154" s="49" t="s">
        <v>1261</v>
      </c>
      <c r="C154" s="2" t="s">
        <v>1262</v>
      </c>
      <c r="D154" s="3" t="s">
        <v>1263</v>
      </c>
      <c r="E154" s="4" t="s">
        <v>1264</v>
      </c>
      <c r="F154" s="4" t="s">
        <v>1265</v>
      </c>
      <c r="G154" s="4" t="s">
        <v>1266</v>
      </c>
      <c r="H154" s="4" t="s">
        <v>1267</v>
      </c>
      <c r="I154" s="4" t="s">
        <v>1268</v>
      </c>
      <c r="J154" s="2" t="s">
        <v>1269</v>
      </c>
      <c r="K154" s="17"/>
    </row>
    <row r="155" spans="2:11" ht="16" x14ac:dyDescent="0.2">
      <c r="B155" s="49" t="s">
        <v>1270</v>
      </c>
      <c r="C155" s="2" t="s">
        <v>1271</v>
      </c>
      <c r="D155" s="3" t="s">
        <v>1272</v>
      </c>
      <c r="E155" s="4" t="s">
        <v>1273</v>
      </c>
      <c r="F155" s="4" t="s">
        <v>1274</v>
      </c>
      <c r="G155" s="4" t="s">
        <v>1275</v>
      </c>
      <c r="H155" s="4" t="s">
        <v>1276</v>
      </c>
      <c r="I155" s="4" t="s">
        <v>1277</v>
      </c>
      <c r="J155" s="2" t="s">
        <v>1278</v>
      </c>
      <c r="K155" s="17"/>
    </row>
    <row r="156" spans="2:11" ht="16" x14ac:dyDescent="0.2">
      <c r="B156" s="49" t="s">
        <v>1279</v>
      </c>
      <c r="C156" s="2" t="s">
        <v>1280</v>
      </c>
      <c r="D156" s="3" t="s">
        <v>1281</v>
      </c>
      <c r="E156" s="4" t="s">
        <v>1282</v>
      </c>
      <c r="F156" s="4" t="s">
        <v>1283</v>
      </c>
      <c r="G156" s="4" t="s">
        <v>1284</v>
      </c>
      <c r="H156" s="4" t="s">
        <v>1285</v>
      </c>
      <c r="I156" s="4" t="s">
        <v>1286</v>
      </c>
      <c r="J156" s="2" t="s">
        <v>1287</v>
      </c>
      <c r="K156" s="17"/>
    </row>
    <row r="157" spans="2:11" ht="16" x14ac:dyDescent="0.2">
      <c r="B157" s="49" t="s">
        <v>1288</v>
      </c>
      <c r="C157" s="2" t="s">
        <v>1289</v>
      </c>
      <c r="D157" s="3" t="s">
        <v>1290</v>
      </c>
      <c r="E157" s="4" t="s">
        <v>1291</v>
      </c>
      <c r="F157" s="4" t="s">
        <v>1292</v>
      </c>
      <c r="G157" s="4" t="s">
        <v>1293</v>
      </c>
      <c r="H157" s="4" t="s">
        <v>1294</v>
      </c>
      <c r="I157" s="4" t="s">
        <v>1295</v>
      </c>
      <c r="J157" s="2" t="s">
        <v>1296</v>
      </c>
      <c r="K157" s="17"/>
    </row>
    <row r="158" spans="2:11" ht="16" x14ac:dyDescent="0.2">
      <c r="B158" s="49" t="s">
        <v>1297</v>
      </c>
      <c r="C158" s="2" t="s">
        <v>1298</v>
      </c>
      <c r="D158" s="3" t="s">
        <v>1299</v>
      </c>
      <c r="E158" s="4" t="s">
        <v>1300</v>
      </c>
      <c r="F158" s="4" t="s">
        <v>1301</v>
      </c>
      <c r="G158" s="4" t="s">
        <v>1302</v>
      </c>
      <c r="H158" s="4" t="s">
        <v>1303</v>
      </c>
      <c r="I158" s="4" t="s">
        <v>1304</v>
      </c>
      <c r="J158" s="2" t="s">
        <v>1305</v>
      </c>
      <c r="K158" s="17"/>
    </row>
    <row r="159" spans="2:11" ht="32" x14ac:dyDescent="0.2">
      <c r="B159" s="49" t="s">
        <v>1306</v>
      </c>
      <c r="C159" s="2" t="s">
        <v>1307</v>
      </c>
      <c r="D159" s="3" t="s">
        <v>1308</v>
      </c>
      <c r="E159" s="2" t="s">
        <v>1309</v>
      </c>
      <c r="F159" s="3" t="s">
        <v>1310</v>
      </c>
      <c r="G159" s="3" t="s">
        <v>1311</v>
      </c>
      <c r="H159" s="85" t="s">
        <v>1312</v>
      </c>
      <c r="I159" s="4" t="s">
        <v>1313</v>
      </c>
      <c r="J159" s="2" t="s">
        <v>1314</v>
      </c>
      <c r="K159" s="17"/>
    </row>
    <row r="160" spans="2:11" ht="32" x14ac:dyDescent="0.2">
      <c r="B160" s="45" t="s">
        <v>1315</v>
      </c>
      <c r="C160" s="2" t="s">
        <v>1316</v>
      </c>
      <c r="D160" s="3" t="s">
        <v>1317</v>
      </c>
      <c r="E160" s="2" t="s">
        <v>1318</v>
      </c>
      <c r="F160" s="3" t="s">
        <v>1319</v>
      </c>
      <c r="G160" s="3" t="s">
        <v>1320</v>
      </c>
      <c r="H160" s="85" t="s">
        <v>1321</v>
      </c>
      <c r="I160" s="2" t="s">
        <v>1322</v>
      </c>
      <c r="J160" s="2" t="s">
        <v>1323</v>
      </c>
      <c r="K160" s="17"/>
    </row>
    <row r="161" spans="2:11" ht="16" x14ac:dyDescent="0.2">
      <c r="B161" s="45" t="s">
        <v>1324</v>
      </c>
      <c r="C161" s="2" t="s">
        <v>1325</v>
      </c>
      <c r="D161" s="3" t="s">
        <v>1326</v>
      </c>
      <c r="E161" s="4" t="s">
        <v>1327</v>
      </c>
      <c r="F161" s="2" t="s">
        <v>1328</v>
      </c>
      <c r="G161" s="4" t="s">
        <v>1329</v>
      </c>
      <c r="H161" s="4" t="s">
        <v>1330</v>
      </c>
      <c r="I161" s="4" t="s">
        <v>1331</v>
      </c>
      <c r="J161" s="2" t="s">
        <v>1332</v>
      </c>
      <c r="K161" s="17"/>
    </row>
    <row r="162" spans="2:11" ht="16" x14ac:dyDescent="0.2">
      <c r="B162" s="45" t="s">
        <v>1333</v>
      </c>
      <c r="C162" s="2" t="s">
        <v>1334</v>
      </c>
      <c r="D162" s="3" t="s">
        <v>1335</v>
      </c>
      <c r="E162" s="4" t="s">
        <v>1336</v>
      </c>
      <c r="F162" s="4" t="s">
        <v>1337</v>
      </c>
      <c r="G162" s="4" t="s">
        <v>1338</v>
      </c>
      <c r="H162" s="4" t="s">
        <v>1339</v>
      </c>
      <c r="I162" s="4" t="s">
        <v>1340</v>
      </c>
      <c r="J162" s="2" t="s">
        <v>1341</v>
      </c>
      <c r="K162" s="17"/>
    </row>
    <row r="163" spans="2:11" ht="16" x14ac:dyDescent="0.2">
      <c r="B163" s="45" t="s">
        <v>1342</v>
      </c>
      <c r="C163" s="2" t="s">
        <v>1343</v>
      </c>
      <c r="D163" s="3" t="s">
        <v>1344</v>
      </c>
      <c r="E163" s="4" t="s">
        <v>1345</v>
      </c>
      <c r="F163" s="4" t="s">
        <v>1346</v>
      </c>
      <c r="G163" s="4" t="s">
        <v>1347</v>
      </c>
      <c r="H163" s="4" t="s">
        <v>1348</v>
      </c>
      <c r="I163" s="4" t="s">
        <v>1349</v>
      </c>
      <c r="J163" s="2" t="s">
        <v>1350</v>
      </c>
      <c r="K163" s="17"/>
    </row>
    <row r="164" spans="2:11" ht="16" x14ac:dyDescent="0.2">
      <c r="B164" s="45" t="s">
        <v>1351</v>
      </c>
      <c r="C164" s="2" t="s">
        <v>1352</v>
      </c>
      <c r="D164" s="3" t="s">
        <v>1353</v>
      </c>
      <c r="E164" s="4" t="s">
        <v>1354</v>
      </c>
      <c r="F164" s="4" t="s">
        <v>1355</v>
      </c>
      <c r="G164" s="4" t="s">
        <v>1356</v>
      </c>
      <c r="H164" s="4" t="s">
        <v>1357</v>
      </c>
      <c r="I164" s="4" t="s">
        <v>1358</v>
      </c>
      <c r="J164" s="2" t="s">
        <v>1359</v>
      </c>
      <c r="K164" s="17"/>
    </row>
    <row r="165" spans="2:11" ht="16" x14ac:dyDescent="0.2">
      <c r="B165" s="45" t="s">
        <v>1360</v>
      </c>
      <c r="C165" s="2" t="s">
        <v>1361</v>
      </c>
      <c r="D165" s="3" t="s">
        <v>1362</v>
      </c>
      <c r="E165" s="4" t="s">
        <v>1363</v>
      </c>
      <c r="F165" s="4" t="s">
        <v>1364</v>
      </c>
      <c r="G165" s="4" t="s">
        <v>1365</v>
      </c>
      <c r="H165" s="4" t="s">
        <v>1366</v>
      </c>
      <c r="I165" s="4" t="s">
        <v>1367</v>
      </c>
      <c r="J165" s="2" t="s">
        <v>1368</v>
      </c>
      <c r="K165" s="17"/>
    </row>
    <row r="166" spans="2:11" ht="32" x14ac:dyDescent="0.2">
      <c r="B166" s="45" t="s">
        <v>1369</v>
      </c>
      <c r="C166" s="2" t="s">
        <v>1370</v>
      </c>
      <c r="D166" s="3" t="s">
        <v>1371</v>
      </c>
      <c r="E166" s="2" t="s">
        <v>1372</v>
      </c>
      <c r="F166" s="2" t="s">
        <v>1373</v>
      </c>
      <c r="G166" s="17" t="s">
        <v>1374</v>
      </c>
      <c r="H166" s="85" t="s">
        <v>1375</v>
      </c>
      <c r="I166" s="4" t="s">
        <v>1376</v>
      </c>
      <c r="J166" s="2" t="s">
        <v>1377</v>
      </c>
      <c r="K166" s="17"/>
    </row>
    <row r="167" spans="2:11" ht="16" x14ac:dyDescent="0.2">
      <c r="B167" s="45" t="s">
        <v>1378</v>
      </c>
      <c r="C167" s="2" t="s">
        <v>1379</v>
      </c>
      <c r="D167" s="3" t="s">
        <v>1380</v>
      </c>
      <c r="E167" s="2" t="s">
        <v>1381</v>
      </c>
      <c r="F167" s="4" t="s">
        <v>1382</v>
      </c>
      <c r="G167" s="4" t="s">
        <v>1383</v>
      </c>
      <c r="H167" s="4" t="s">
        <v>1384</v>
      </c>
      <c r="I167" s="4" t="s">
        <v>1385</v>
      </c>
      <c r="J167" s="2" t="s">
        <v>1386</v>
      </c>
      <c r="K167" s="17"/>
    </row>
    <row r="168" spans="2:11" ht="32" x14ac:dyDescent="0.2">
      <c r="B168" s="19" t="s">
        <v>1387</v>
      </c>
      <c r="C168" s="2" t="s">
        <v>1692</v>
      </c>
      <c r="D168" s="3" t="s">
        <v>1388</v>
      </c>
      <c r="E168" s="3" t="s">
        <v>1389</v>
      </c>
      <c r="F168" s="85" t="s">
        <v>1390</v>
      </c>
      <c r="G168" s="3" t="s">
        <v>1391</v>
      </c>
      <c r="H168" s="4" t="s">
        <v>1392</v>
      </c>
      <c r="I168" s="4" t="s">
        <v>1393</v>
      </c>
      <c r="J168" s="2" t="s">
        <v>1394</v>
      </c>
      <c r="K168" s="17"/>
    </row>
    <row r="169" spans="2:11" ht="80" x14ac:dyDescent="0.2">
      <c r="B169" s="19" t="s">
        <v>1395</v>
      </c>
      <c r="C169" s="3" t="s">
        <v>1698</v>
      </c>
      <c r="D169" s="3" t="s">
        <v>1396</v>
      </c>
      <c r="E169" s="3" t="s">
        <v>1397</v>
      </c>
      <c r="F169" s="3" t="s">
        <v>1398</v>
      </c>
      <c r="G169" s="85" t="s">
        <v>1399</v>
      </c>
      <c r="H169" s="85" t="s">
        <v>1400</v>
      </c>
      <c r="I169" s="3" t="s">
        <v>1401</v>
      </c>
      <c r="J169" s="3" t="s">
        <v>1402</v>
      </c>
      <c r="K169" s="17"/>
    </row>
    <row r="170" spans="2:11" ht="16" x14ac:dyDescent="0.2">
      <c r="B170" s="19" t="s">
        <v>1403</v>
      </c>
      <c r="C170" s="2" t="s">
        <v>1404</v>
      </c>
      <c r="D170" s="3" t="s">
        <v>1405</v>
      </c>
      <c r="E170" s="3" t="s">
        <v>1406</v>
      </c>
      <c r="F170" s="4" t="s">
        <v>1407</v>
      </c>
      <c r="G170" s="4" t="s">
        <v>1408</v>
      </c>
      <c r="H170" s="4" t="s">
        <v>1409</v>
      </c>
      <c r="I170" s="4" t="s">
        <v>1410</v>
      </c>
      <c r="J170" s="2" t="s">
        <v>1411</v>
      </c>
      <c r="K170" s="17"/>
    </row>
    <row r="171" spans="2:11" ht="64" x14ac:dyDescent="0.2">
      <c r="B171" s="19" t="s">
        <v>1412</v>
      </c>
      <c r="C171" s="3" t="s">
        <v>1413</v>
      </c>
      <c r="D171" s="3" t="s">
        <v>1414</v>
      </c>
      <c r="E171" s="3" t="s">
        <v>1415</v>
      </c>
      <c r="F171" s="85" t="s">
        <v>1416</v>
      </c>
      <c r="G171" s="85" t="s">
        <v>1417</v>
      </c>
      <c r="H171" s="85" t="s">
        <v>1418</v>
      </c>
      <c r="I171" s="17" t="s">
        <v>1419</v>
      </c>
      <c r="J171" s="3" t="s">
        <v>1420</v>
      </c>
      <c r="K171" s="17"/>
    </row>
    <row r="172" spans="2:11" ht="16" x14ac:dyDescent="0.2">
      <c r="B172" s="19" t="s">
        <v>1421</v>
      </c>
      <c r="C172" s="2" t="s">
        <v>1422</v>
      </c>
      <c r="D172" s="3" t="s">
        <v>1423</v>
      </c>
      <c r="E172" s="4" t="s">
        <v>1424</v>
      </c>
      <c r="F172" s="4" t="s">
        <v>1425</v>
      </c>
      <c r="G172" s="4" t="s">
        <v>1426</v>
      </c>
      <c r="H172" s="4" t="s">
        <v>1427</v>
      </c>
      <c r="I172" s="4" t="s">
        <v>1428</v>
      </c>
      <c r="J172" s="2" t="s">
        <v>1429</v>
      </c>
      <c r="K172" s="17"/>
    </row>
    <row r="173" spans="2:11" ht="16" x14ac:dyDescent="0.2">
      <c r="B173" s="19" t="s">
        <v>1430</v>
      </c>
      <c r="C173" s="2" t="s">
        <v>1431</v>
      </c>
      <c r="D173" s="3" t="s">
        <v>1432</v>
      </c>
      <c r="E173" s="4" t="s">
        <v>1433</v>
      </c>
      <c r="F173" s="4" t="s">
        <v>1434</v>
      </c>
      <c r="G173" s="4" t="s">
        <v>1435</v>
      </c>
      <c r="H173" s="4" t="s">
        <v>1436</v>
      </c>
      <c r="I173" s="4" t="s">
        <v>1437</v>
      </c>
      <c r="J173" s="2" t="s">
        <v>1438</v>
      </c>
      <c r="K173" s="17"/>
    </row>
    <row r="174" spans="2:11" ht="16" x14ac:dyDescent="0.2">
      <c r="B174" s="19" t="s">
        <v>1439</v>
      </c>
      <c r="C174" s="2" t="s">
        <v>1440</v>
      </c>
      <c r="D174" s="3" t="s">
        <v>1441</v>
      </c>
      <c r="E174" s="4" t="s">
        <v>1442</v>
      </c>
      <c r="F174" s="4" t="s">
        <v>1443</v>
      </c>
      <c r="G174" s="4" t="s">
        <v>1444</v>
      </c>
      <c r="H174" s="4" t="s">
        <v>1445</v>
      </c>
      <c r="I174" s="4" t="s">
        <v>1446</v>
      </c>
      <c r="J174" s="2" t="s">
        <v>1447</v>
      </c>
      <c r="K174" s="17"/>
    </row>
    <row r="175" spans="2:11" ht="16" x14ac:dyDescent="0.2">
      <c r="B175" s="19" t="s">
        <v>1448</v>
      </c>
      <c r="C175" s="2" t="s">
        <v>1449</v>
      </c>
      <c r="D175" s="3" t="s">
        <v>1450</v>
      </c>
      <c r="E175" s="4" t="s">
        <v>1451</v>
      </c>
      <c r="F175" s="4" t="s">
        <v>1452</v>
      </c>
      <c r="G175" s="4" t="s">
        <v>1453</v>
      </c>
      <c r="H175" s="4" t="s">
        <v>1454</v>
      </c>
      <c r="I175" s="4" t="s">
        <v>1455</v>
      </c>
      <c r="J175" s="2" t="s">
        <v>1456</v>
      </c>
      <c r="K175" s="17"/>
    </row>
    <row r="176" spans="2:11" ht="32" x14ac:dyDescent="0.2">
      <c r="B176" s="19" t="s">
        <v>1457</v>
      </c>
      <c r="C176" s="3" t="s">
        <v>1458</v>
      </c>
      <c r="D176" s="3" t="s">
        <v>1459</v>
      </c>
      <c r="E176" s="3" t="s">
        <v>1460</v>
      </c>
      <c r="F176" s="85" t="s">
        <v>1461</v>
      </c>
      <c r="G176" s="85" t="s">
        <v>1462</v>
      </c>
      <c r="H176" s="85" t="s">
        <v>1463</v>
      </c>
      <c r="I176" s="3" t="s">
        <v>1464</v>
      </c>
      <c r="J176" s="3" t="s">
        <v>1465</v>
      </c>
      <c r="K176" s="17"/>
    </row>
    <row r="177" spans="2:11" ht="16" x14ac:dyDescent="0.2">
      <c r="B177" s="19" t="s">
        <v>1466</v>
      </c>
      <c r="C177" s="2" t="s">
        <v>1467</v>
      </c>
      <c r="D177" s="3" t="s">
        <v>1468</v>
      </c>
      <c r="E177" s="3" t="s">
        <v>1469</v>
      </c>
      <c r="F177" s="4" t="s">
        <v>1470</v>
      </c>
      <c r="G177" s="4" t="s">
        <v>1471</v>
      </c>
      <c r="H177" s="4" t="s">
        <v>1472</v>
      </c>
      <c r="I177" s="4" t="s">
        <v>1473</v>
      </c>
      <c r="J177" s="2" t="s">
        <v>1474</v>
      </c>
      <c r="K177" s="17"/>
    </row>
    <row r="178" spans="2:11" ht="48" x14ac:dyDescent="0.2">
      <c r="B178" s="19" t="s">
        <v>1475</v>
      </c>
      <c r="C178" s="3" t="s">
        <v>1476</v>
      </c>
      <c r="D178" s="3" t="s">
        <v>1477</v>
      </c>
      <c r="E178" s="3" t="s">
        <v>1478</v>
      </c>
      <c r="F178" s="85" t="s">
        <v>1479</v>
      </c>
      <c r="G178" s="3" t="s">
        <v>1480</v>
      </c>
      <c r="H178" s="85" t="s">
        <v>1481</v>
      </c>
      <c r="I178" s="3" t="s">
        <v>1482</v>
      </c>
      <c r="J178" s="3" t="s">
        <v>1483</v>
      </c>
      <c r="K178" s="17"/>
    </row>
    <row r="179" spans="2:11" ht="16" x14ac:dyDescent="0.2">
      <c r="B179" s="19" t="s">
        <v>1484</v>
      </c>
      <c r="C179" s="2" t="s">
        <v>1485</v>
      </c>
      <c r="D179" s="3" t="s">
        <v>1486</v>
      </c>
      <c r="E179" s="4" t="s">
        <v>1487</v>
      </c>
      <c r="F179" s="4" t="s">
        <v>1488</v>
      </c>
      <c r="G179" s="4" t="s">
        <v>1489</v>
      </c>
      <c r="H179" s="4" t="s">
        <v>1490</v>
      </c>
      <c r="I179" s="4" t="s">
        <v>1491</v>
      </c>
      <c r="J179" s="2" t="s">
        <v>1492</v>
      </c>
      <c r="K179" s="17"/>
    </row>
    <row r="180" spans="2:11" ht="32" x14ac:dyDescent="0.2">
      <c r="B180" s="19" t="s">
        <v>1493</v>
      </c>
      <c r="C180" s="2" t="s">
        <v>1494</v>
      </c>
      <c r="D180" s="3" t="s">
        <v>1495</v>
      </c>
      <c r="E180" s="2" t="s">
        <v>1496</v>
      </c>
      <c r="F180" s="85" t="s">
        <v>1497</v>
      </c>
      <c r="G180" s="4" t="s">
        <v>1498</v>
      </c>
      <c r="H180" s="4" t="s">
        <v>1499</v>
      </c>
      <c r="I180" s="4" t="s">
        <v>1500</v>
      </c>
      <c r="J180" s="2" t="s">
        <v>1501</v>
      </c>
      <c r="K180" s="17"/>
    </row>
    <row r="181" spans="2:11" ht="16" x14ac:dyDescent="0.2">
      <c r="B181" s="19" t="s">
        <v>1502</v>
      </c>
      <c r="C181" s="2" t="s">
        <v>1503</v>
      </c>
      <c r="D181" s="3" t="s">
        <v>1504</v>
      </c>
      <c r="E181" s="2" t="s">
        <v>1505</v>
      </c>
      <c r="F181" s="4" t="s">
        <v>1506</v>
      </c>
      <c r="G181" s="4" t="s">
        <v>1507</v>
      </c>
      <c r="H181" s="4" t="s">
        <v>1508</v>
      </c>
      <c r="I181" s="4" t="s">
        <v>1509</v>
      </c>
      <c r="J181" s="2" t="s">
        <v>1510</v>
      </c>
      <c r="K181" s="17"/>
    </row>
    <row r="182" spans="2:11" ht="64" x14ac:dyDescent="0.2">
      <c r="B182" s="19" t="s">
        <v>1511</v>
      </c>
      <c r="C182" s="3" t="s">
        <v>1512</v>
      </c>
      <c r="D182" s="3" t="s">
        <v>1513</v>
      </c>
      <c r="E182" s="2" t="s">
        <v>1514</v>
      </c>
      <c r="F182" s="85" t="s">
        <v>1515</v>
      </c>
      <c r="G182" s="2" t="s">
        <v>1516</v>
      </c>
      <c r="H182" s="85" t="s">
        <v>1517</v>
      </c>
      <c r="I182" s="3" t="s">
        <v>1518</v>
      </c>
      <c r="J182" s="3" t="s">
        <v>1519</v>
      </c>
      <c r="K182" s="17"/>
    </row>
    <row r="183" spans="2:11" ht="48" x14ac:dyDescent="0.2">
      <c r="B183" s="19" t="s">
        <v>1520</v>
      </c>
      <c r="C183" s="3" t="s">
        <v>1699</v>
      </c>
      <c r="D183" s="3" t="s">
        <v>1521</v>
      </c>
      <c r="E183" s="3" t="s">
        <v>1522</v>
      </c>
      <c r="F183" s="3" t="s">
        <v>1523</v>
      </c>
      <c r="G183" s="3" t="s">
        <v>1524</v>
      </c>
      <c r="H183" s="85" t="s">
        <v>1525</v>
      </c>
      <c r="I183" s="3" t="s">
        <v>1526</v>
      </c>
      <c r="J183" s="3" t="s">
        <v>1527</v>
      </c>
      <c r="K183" s="17"/>
    </row>
    <row r="184" spans="2:11" ht="16" x14ac:dyDescent="0.2">
      <c r="B184" s="19" t="s">
        <v>1528</v>
      </c>
      <c r="C184" s="2" t="s">
        <v>1529</v>
      </c>
      <c r="D184" s="3" t="s">
        <v>1530</v>
      </c>
      <c r="E184" s="3" t="s">
        <v>1531</v>
      </c>
      <c r="F184" s="4" t="s">
        <v>1532</v>
      </c>
      <c r="G184" s="4" t="s">
        <v>1533</v>
      </c>
      <c r="H184" s="4" t="s">
        <v>1534</v>
      </c>
      <c r="I184" s="4" t="s">
        <v>1535</v>
      </c>
      <c r="J184" s="2" t="s">
        <v>1536</v>
      </c>
      <c r="K184" s="17"/>
    </row>
    <row r="185" spans="2:11" ht="32" x14ac:dyDescent="0.2">
      <c r="B185" s="19" t="s">
        <v>1537</v>
      </c>
      <c r="C185" s="3" t="s">
        <v>1538</v>
      </c>
      <c r="D185" s="3" t="s">
        <v>1539</v>
      </c>
      <c r="E185" s="3" t="s">
        <v>1540</v>
      </c>
      <c r="F185" s="85" t="s">
        <v>1541</v>
      </c>
      <c r="G185" s="85" t="s">
        <v>1542</v>
      </c>
      <c r="H185" s="85" t="s">
        <v>1543</v>
      </c>
      <c r="I185" s="85" t="s">
        <v>1544</v>
      </c>
      <c r="J185" s="3" t="s">
        <v>1545</v>
      </c>
      <c r="K185" s="17"/>
    </row>
    <row r="186" spans="2:11" ht="32" x14ac:dyDescent="0.2">
      <c r="B186" s="19" t="s">
        <v>1546</v>
      </c>
      <c r="C186" s="3" t="s">
        <v>1547</v>
      </c>
      <c r="D186" s="3" t="s">
        <v>1548</v>
      </c>
      <c r="E186" s="3" t="s">
        <v>1549</v>
      </c>
      <c r="F186" s="85" t="s">
        <v>1550</v>
      </c>
      <c r="G186" s="85" t="s">
        <v>1551</v>
      </c>
      <c r="H186" s="85" t="s">
        <v>1552</v>
      </c>
      <c r="I186" s="85" t="s">
        <v>1553</v>
      </c>
      <c r="J186" s="3" t="s">
        <v>1554</v>
      </c>
      <c r="K186" s="17"/>
    </row>
    <row r="187" spans="2:11" ht="48" x14ac:dyDescent="0.2">
      <c r="B187" s="19" t="s">
        <v>1555</v>
      </c>
      <c r="C187" s="3" t="s">
        <v>1556</v>
      </c>
      <c r="D187" s="3" t="s">
        <v>1557</v>
      </c>
      <c r="E187" s="3" t="s">
        <v>1558</v>
      </c>
      <c r="F187" s="3" t="s">
        <v>1559</v>
      </c>
      <c r="G187" s="3" t="s">
        <v>1560</v>
      </c>
      <c r="H187" s="85" t="s">
        <v>1561</v>
      </c>
      <c r="I187" s="3" t="s">
        <v>1562</v>
      </c>
      <c r="J187" s="3" t="s">
        <v>1563</v>
      </c>
      <c r="K187" s="17"/>
    </row>
    <row r="188" spans="2:11" ht="32" x14ac:dyDescent="0.2">
      <c r="B188" s="19" t="s">
        <v>1564</v>
      </c>
      <c r="C188" s="2" t="s">
        <v>1700</v>
      </c>
      <c r="D188" s="3" t="s">
        <v>1565</v>
      </c>
      <c r="E188" s="2" t="s">
        <v>1566</v>
      </c>
      <c r="F188" s="2" t="s">
        <v>1567</v>
      </c>
      <c r="G188" s="2" t="s">
        <v>1568</v>
      </c>
      <c r="H188" s="85" t="s">
        <v>1569</v>
      </c>
      <c r="I188" s="2" t="s">
        <v>1570</v>
      </c>
      <c r="J188" s="2" t="s">
        <v>1571</v>
      </c>
      <c r="K188" s="17"/>
    </row>
    <row r="189" spans="2:11" ht="16" x14ac:dyDescent="0.2">
      <c r="B189" s="19" t="s">
        <v>1572</v>
      </c>
      <c r="C189" s="2" t="s">
        <v>1573</v>
      </c>
      <c r="D189" s="3" t="s">
        <v>1574</v>
      </c>
      <c r="E189" s="4" t="s">
        <v>1575</v>
      </c>
      <c r="F189" s="4" t="s">
        <v>1576</v>
      </c>
      <c r="G189" s="4" t="s">
        <v>1577</v>
      </c>
      <c r="H189" s="4" t="s">
        <v>1578</v>
      </c>
      <c r="I189" s="4" t="s">
        <v>1579</v>
      </c>
      <c r="J189" s="2" t="s">
        <v>1580</v>
      </c>
      <c r="K189" s="17"/>
    </row>
    <row r="190" spans="2:11" ht="16" x14ac:dyDescent="0.2">
      <c r="B190" s="19" t="s">
        <v>1581</v>
      </c>
      <c r="C190" s="2" t="s">
        <v>1582</v>
      </c>
      <c r="D190" s="3" t="s">
        <v>1583</v>
      </c>
      <c r="E190" s="4" t="s">
        <v>1584</v>
      </c>
      <c r="F190" s="4" t="s">
        <v>1585</v>
      </c>
      <c r="G190" s="4" t="s">
        <v>1586</v>
      </c>
      <c r="H190" s="4" t="s">
        <v>1587</v>
      </c>
      <c r="I190" s="4" t="s">
        <v>1588</v>
      </c>
      <c r="J190" s="2" t="s">
        <v>1589</v>
      </c>
      <c r="K190" s="17"/>
    </row>
    <row r="191" spans="2:11" x14ac:dyDescent="0.2">
      <c r="B191" s="49" t="s">
        <v>1590</v>
      </c>
      <c r="C191" s="2" t="s">
        <v>1693</v>
      </c>
      <c r="D191" s="2" t="s">
        <v>1591</v>
      </c>
      <c r="E191" s="4" t="s">
        <v>1592</v>
      </c>
      <c r="F191" s="4" t="s">
        <v>1593</v>
      </c>
      <c r="G191" s="4" t="s">
        <v>1594</v>
      </c>
      <c r="H191" s="4" t="s">
        <v>1595</v>
      </c>
      <c r="I191" s="4" t="s">
        <v>1596</v>
      </c>
      <c r="J191" s="2" t="s">
        <v>1597</v>
      </c>
      <c r="K191" s="17"/>
    </row>
    <row r="192" spans="2:11" ht="16" x14ac:dyDescent="0.2">
      <c r="B192" s="45" t="s">
        <v>1598</v>
      </c>
      <c r="C192" s="3" t="s">
        <v>1599</v>
      </c>
      <c r="D192" s="3" t="s">
        <v>1600</v>
      </c>
      <c r="E192" s="4" t="s">
        <v>1601</v>
      </c>
      <c r="F192" s="4" t="s">
        <v>1602</v>
      </c>
      <c r="G192" s="4" t="s">
        <v>1603</v>
      </c>
      <c r="H192" s="4" t="s">
        <v>1604</v>
      </c>
      <c r="I192" s="4" t="s">
        <v>1605</v>
      </c>
      <c r="J192" s="3" t="s">
        <v>1606</v>
      </c>
    </row>
    <row r="193" spans="2:10" ht="16" x14ac:dyDescent="0.2">
      <c r="B193" s="45" t="s">
        <v>1607</v>
      </c>
      <c r="C193" s="3" t="s">
        <v>1608</v>
      </c>
      <c r="D193" s="3" t="s">
        <v>1609</v>
      </c>
      <c r="E193" s="4" t="s">
        <v>1610</v>
      </c>
      <c r="F193" s="4" t="s">
        <v>1611</v>
      </c>
      <c r="G193" s="4" t="s">
        <v>1612</v>
      </c>
      <c r="H193" s="4" t="s">
        <v>1613</v>
      </c>
      <c r="I193" s="4" t="s">
        <v>1614</v>
      </c>
      <c r="J193" s="3" t="s">
        <v>1615</v>
      </c>
    </row>
    <row r="194" spans="2:10" ht="16" x14ac:dyDescent="0.2">
      <c r="B194" s="45" t="s">
        <v>1616</v>
      </c>
      <c r="C194" s="3" t="s">
        <v>1617</v>
      </c>
      <c r="D194" s="3" t="s">
        <v>1618</v>
      </c>
      <c r="E194" s="4" t="s">
        <v>1619</v>
      </c>
      <c r="F194" s="4" t="s">
        <v>1620</v>
      </c>
      <c r="G194" s="4" t="s">
        <v>1621</v>
      </c>
      <c r="H194" s="4" t="s">
        <v>1622</v>
      </c>
      <c r="I194" s="4" t="s">
        <v>1623</v>
      </c>
      <c r="J194" s="3" t="s">
        <v>1624</v>
      </c>
    </row>
    <row r="195" spans="2:10" ht="16" x14ac:dyDescent="0.2">
      <c r="B195" s="45" t="s">
        <v>1625</v>
      </c>
      <c r="C195" s="3" t="s">
        <v>1626</v>
      </c>
      <c r="D195" s="3" t="s">
        <v>1627</v>
      </c>
      <c r="E195" s="4" t="s">
        <v>1628</v>
      </c>
      <c r="F195" s="4" t="s">
        <v>1629</v>
      </c>
      <c r="G195" s="4" t="s">
        <v>1630</v>
      </c>
      <c r="H195" s="4" t="s">
        <v>1631</v>
      </c>
      <c r="I195" s="4" t="s">
        <v>1632</v>
      </c>
      <c r="J195" s="3" t="s">
        <v>1633</v>
      </c>
    </row>
    <row r="196" spans="2:10" ht="16" x14ac:dyDescent="0.2">
      <c r="B196" s="45" t="s">
        <v>1634</v>
      </c>
      <c r="C196" s="3" t="s">
        <v>1635</v>
      </c>
      <c r="D196" s="3" t="s">
        <v>1636</v>
      </c>
      <c r="E196" s="4" t="s">
        <v>1637</v>
      </c>
      <c r="F196" s="4" t="s">
        <v>1637</v>
      </c>
      <c r="G196" s="4" t="s">
        <v>1638</v>
      </c>
      <c r="H196" s="4" t="s">
        <v>1639</v>
      </c>
      <c r="I196" s="4" t="s">
        <v>1640</v>
      </c>
      <c r="J196" s="3" t="s">
        <v>1641</v>
      </c>
    </row>
    <row r="197" spans="2:10" ht="16" x14ac:dyDescent="0.2">
      <c r="B197" s="45" t="s">
        <v>1642</v>
      </c>
      <c r="C197" s="3" t="s">
        <v>1643</v>
      </c>
      <c r="D197" s="3" t="s">
        <v>1644</v>
      </c>
      <c r="E197" s="4" t="s">
        <v>1645</v>
      </c>
      <c r="F197" s="4" t="s">
        <v>1646</v>
      </c>
      <c r="G197" s="4" t="s">
        <v>1647</v>
      </c>
      <c r="H197" s="4" t="s">
        <v>1648</v>
      </c>
      <c r="I197" s="4" t="s">
        <v>1649</v>
      </c>
      <c r="J197" s="3" t="s">
        <v>1650</v>
      </c>
    </row>
    <row r="198" spans="2:10" ht="16" x14ac:dyDescent="0.2">
      <c r="B198" s="45" t="s">
        <v>1651</v>
      </c>
      <c r="C198" s="3" t="s">
        <v>1652</v>
      </c>
      <c r="D198" s="3" t="s">
        <v>1653</v>
      </c>
      <c r="E198" s="4" t="s">
        <v>1654</v>
      </c>
      <c r="F198" s="4" t="s">
        <v>1655</v>
      </c>
      <c r="G198" s="4" t="s">
        <v>1656</v>
      </c>
      <c r="H198" s="4" t="s">
        <v>1652</v>
      </c>
      <c r="I198" s="4" t="s">
        <v>1657</v>
      </c>
      <c r="J198" s="3" t="s">
        <v>1658</v>
      </c>
    </row>
    <row r="199" spans="2:10" ht="16" x14ac:dyDescent="0.2">
      <c r="B199" s="45" t="s">
        <v>1659</v>
      </c>
      <c r="C199" s="3" t="s">
        <v>1660</v>
      </c>
      <c r="D199" s="3" t="s">
        <v>1661</v>
      </c>
      <c r="E199" s="4" t="s">
        <v>1662</v>
      </c>
      <c r="F199" s="4" t="s">
        <v>1663</v>
      </c>
      <c r="G199" s="4" t="s">
        <v>1664</v>
      </c>
      <c r="H199" s="4" t="s">
        <v>1665</v>
      </c>
      <c r="I199" s="4" t="s">
        <v>1666</v>
      </c>
      <c r="J199" s="3" t="s">
        <v>1667</v>
      </c>
    </row>
    <row r="200" spans="2:10" ht="16" x14ac:dyDescent="0.2">
      <c r="B200" s="45" t="s">
        <v>1668</v>
      </c>
      <c r="C200" s="3" t="s">
        <v>1669</v>
      </c>
      <c r="D200" s="3" t="s">
        <v>1670</v>
      </c>
      <c r="E200" s="4" t="s">
        <v>1671</v>
      </c>
      <c r="F200" s="4" t="s">
        <v>1672</v>
      </c>
      <c r="G200" s="3" t="s">
        <v>1673</v>
      </c>
      <c r="H200" s="4" t="s">
        <v>1674</v>
      </c>
      <c r="I200" s="4" t="s">
        <v>1675</v>
      </c>
      <c r="J200" s="3" t="s">
        <v>1676</v>
      </c>
    </row>
    <row r="201" spans="2:10" ht="16" x14ac:dyDescent="0.2">
      <c r="B201" s="45" t="s">
        <v>1677</v>
      </c>
      <c r="C201" s="3" t="s">
        <v>1608</v>
      </c>
      <c r="D201" s="3" t="s">
        <v>1609</v>
      </c>
      <c r="E201" s="4" t="s">
        <v>1610</v>
      </c>
      <c r="F201" s="4" t="s">
        <v>1678</v>
      </c>
      <c r="G201" s="4" t="s">
        <v>1612</v>
      </c>
      <c r="H201" s="4" t="s">
        <v>1613</v>
      </c>
      <c r="I201" s="4" t="s">
        <v>1614</v>
      </c>
      <c r="J201" s="3" t="s">
        <v>1615</v>
      </c>
    </row>
    <row r="202" spans="2:10" ht="16" x14ac:dyDescent="0.2">
      <c r="B202" s="45" t="s">
        <v>1679</v>
      </c>
      <c r="C202" s="3" t="s">
        <v>1617</v>
      </c>
      <c r="D202" s="3" t="s">
        <v>1618</v>
      </c>
      <c r="E202" s="4" t="s">
        <v>1619</v>
      </c>
      <c r="F202" s="4" t="s">
        <v>1680</v>
      </c>
      <c r="G202" s="4" t="s">
        <v>1621</v>
      </c>
      <c r="H202" s="4" t="s">
        <v>1622</v>
      </c>
      <c r="I202" s="4" t="s">
        <v>1681</v>
      </c>
      <c r="J202" s="3" t="s">
        <v>1624</v>
      </c>
    </row>
    <row r="203" spans="2:10" ht="16" x14ac:dyDescent="0.2">
      <c r="B203" s="45" t="s">
        <v>1682</v>
      </c>
      <c r="C203" s="3" t="s">
        <v>1635</v>
      </c>
      <c r="D203" s="3" t="s">
        <v>1636</v>
      </c>
      <c r="E203" s="4" t="s">
        <v>1683</v>
      </c>
      <c r="F203" s="4" t="s">
        <v>1683</v>
      </c>
      <c r="G203" s="4" t="s">
        <v>1638</v>
      </c>
      <c r="H203" s="4" t="s">
        <v>1639</v>
      </c>
      <c r="I203" s="4" t="s">
        <v>1684</v>
      </c>
      <c r="J203" s="3" t="s">
        <v>1641</v>
      </c>
    </row>
    <row r="250" spans="2:3" x14ac:dyDescent="0.2">
      <c r="B250" s="5"/>
      <c r="C250" s="3"/>
    </row>
    <row r="251" spans="2:3" x14ac:dyDescent="0.2">
      <c r="B251" s="5"/>
      <c r="C251" s="3"/>
    </row>
    <row r="252" spans="2:3" x14ac:dyDescent="0.2">
      <c r="B252" s="5"/>
      <c r="C252" s="3"/>
    </row>
    <row r="253" spans="2:3" x14ac:dyDescent="0.2">
      <c r="B253" s="5"/>
      <c r="C253" s="3"/>
    </row>
    <row r="254" spans="2:3" x14ac:dyDescent="0.2">
      <c r="B254" s="5"/>
      <c r="C254" s="3"/>
    </row>
    <row r="255" spans="2:3" x14ac:dyDescent="0.2">
      <c r="B255" s="5"/>
      <c r="C255" s="3"/>
    </row>
    <row r="256" spans="2:3" x14ac:dyDescent="0.2">
      <c r="B256" s="5"/>
      <c r="C256" s="3"/>
    </row>
    <row r="257" spans="2:3" x14ac:dyDescent="0.2">
      <c r="B257" s="5"/>
      <c r="C257" s="3"/>
    </row>
    <row r="258" spans="2:3" x14ac:dyDescent="0.2">
      <c r="B258" s="5"/>
      <c r="C258" s="3"/>
    </row>
    <row r="259" spans="2:3" x14ac:dyDescent="0.2">
      <c r="B259" s="5"/>
      <c r="C259" s="3"/>
    </row>
    <row r="260" spans="2:3" x14ac:dyDescent="0.2">
      <c r="B260" s="5"/>
      <c r="C260" s="3"/>
    </row>
    <row r="261" spans="2:3" x14ac:dyDescent="0.2">
      <c r="B261" s="5"/>
      <c r="C261" s="3"/>
    </row>
    <row r="262" spans="2:3" x14ac:dyDescent="0.2">
      <c r="B262" s="5"/>
      <c r="C262" s="3"/>
    </row>
  </sheetData>
  <mergeCells count="1">
    <mergeCell ref="B6:K6"/>
  </mergeCells>
  <conditionalFormatting sqref="C40">
    <cfRule type="expression" dxfId="0" priority="2">
      <formula>MOD(ROW(),2)=0</formula>
    </cfRule>
  </conditionalFormatting>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2:E9"/>
  <sheetViews>
    <sheetView workbookViewId="0">
      <selection activeCell="B4" sqref="B4"/>
    </sheetView>
  </sheetViews>
  <sheetFormatPr baseColWidth="10" defaultColWidth="11" defaultRowHeight="15" x14ac:dyDescent="0.2"/>
  <cols>
    <col min="1" max="1" width="3.6640625" style="2" customWidth="1"/>
    <col min="2" max="2" width="15.6640625" style="2" customWidth="1"/>
    <col min="3" max="3" width="10.6640625" style="2" customWidth="1"/>
    <col min="4" max="4" width="60.6640625" style="2" customWidth="1"/>
    <col min="5" max="5" width="15.6640625" style="2" customWidth="1"/>
    <col min="6" max="16384" width="11" style="2"/>
  </cols>
  <sheetData>
    <row r="2" spans="2:5" ht="19" x14ac:dyDescent="0.2">
      <c r="B2" s="50" t="str">
        <f>VLOOKUP("General_Header",Hidden_Translations!$B$11:$J$129,Hidden_Translations!$C$8,FALSE)</f>
        <v>Boosting Energy Transition of the Dairy value chain (BETTED project)</v>
      </c>
      <c r="C2" s="24"/>
      <c r="D2" s="24"/>
      <c r="E2" s="24"/>
    </row>
    <row r="4" spans="2:5" ht="19" x14ac:dyDescent="0.2">
      <c r="B4" s="29" t="str">
        <f>VLOOKUP("Versions_Header",Hidden_Translations!$B$11:$J$129,Hidden_Translations!$C$8,FALSE)</f>
        <v>#7: NEB Evaluator: Versions</v>
      </c>
      <c r="C4" s="29"/>
      <c r="D4" s="29"/>
      <c r="E4" s="29"/>
    </row>
    <row r="6" spans="2:5" x14ac:dyDescent="0.2">
      <c r="B6" s="2" t="str">
        <f>VLOOKUP("Versions_Header_Text",Hidden_Translations!$B$11:$J$129,Hidden_Translations!$C$8,FALSE)</f>
        <v>Version history</v>
      </c>
    </row>
    <row r="8" spans="2:5" ht="16" x14ac:dyDescent="0.2">
      <c r="B8" s="51" t="str">
        <f>VLOOKUP("Versions_Table_Heading_Date",Hidden_Translations!$B$11:$J$129,Hidden_Translations!$C$8,FALSE)</f>
        <v>Date</v>
      </c>
      <c r="C8" s="51" t="str">
        <f>VLOOKUP("Versions_Table_Heading_Version",Hidden_Translations!$B$11:$J$129,Hidden_Translations!$C$8,FALSE)</f>
        <v>Version</v>
      </c>
      <c r="D8" s="51" t="str">
        <f>VLOOKUP("Versions_Table_Heading_Change",Hidden_Translations!$B$11:$J$129,Hidden_Translations!$C$8,FALSE)</f>
        <v>Change</v>
      </c>
      <c r="E8" s="54" t="str">
        <f>VLOOKUP("Versions_Table_Heading_Changeby",Hidden_Translations!$B$11:$J$129,Hidden_Translations!$C$8,FALSE)</f>
        <v>Change by</v>
      </c>
    </row>
    <row r="9" spans="2:5" ht="16" x14ac:dyDescent="0.2">
      <c r="B9" s="101">
        <v>45505</v>
      </c>
      <c r="C9" s="91" t="s">
        <v>1685</v>
      </c>
      <c r="D9" s="102" t="s">
        <v>1686</v>
      </c>
      <c r="E9" s="92" t="s">
        <v>1687</v>
      </c>
    </row>
  </sheetData>
  <sheetProtection selectLockedCells="1"/>
  <pageMargins left="0.7" right="0.7" top="0.78740157499999996" bottom="0.78740157499999996"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4BDC52846F764BAFF71E171827D26E" ma:contentTypeVersion="15" ma:contentTypeDescription="Create a new document." ma:contentTypeScope="" ma:versionID="3e7a437975e3e7c7f2ae2a4990171319">
  <xsd:schema xmlns:xsd="http://www.w3.org/2001/XMLSchema" xmlns:xs="http://www.w3.org/2001/XMLSchema" xmlns:p="http://schemas.microsoft.com/office/2006/metadata/properties" xmlns:ns2="a240e62e-e3ac-4cb4-a60e-45db7d1f7333" xmlns:ns3="bf9a00bd-1abc-4088-a1d8-f3578de7fe5d" targetNamespace="http://schemas.microsoft.com/office/2006/metadata/properties" ma:root="true" ma:fieldsID="065304e243236db2672a368f1e00579d" ns2:_="" ns3:_="">
    <xsd:import namespace="a240e62e-e3ac-4cb4-a60e-45db7d1f7333"/>
    <xsd:import namespace="bf9a00bd-1abc-4088-a1d8-f3578de7fe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40e62e-e3ac-4cb4-a60e-45db7d1f73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5a85a9b-81e7-4265-a1a2-8239696fc1f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9a00bd-1abc-4088-a1d8-f3578de7fe5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60fec88-57bf-492a-bfcc-c50c4848de58}" ma:internalName="TaxCatchAll" ma:showField="CatchAllData" ma:web="bf9a00bd-1abc-4088-a1d8-f3578de7fe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40e62e-e3ac-4cb4-a60e-45db7d1f7333">
      <Terms xmlns="http://schemas.microsoft.com/office/infopath/2007/PartnerControls"/>
    </lcf76f155ced4ddcb4097134ff3c332f>
    <TaxCatchAll xmlns="bf9a00bd-1abc-4088-a1d8-f3578de7fe5d" xsi:nil="true"/>
  </documentManagement>
</p:properties>
</file>

<file path=customXml/itemProps1.xml><?xml version="1.0" encoding="utf-8"?>
<ds:datastoreItem xmlns:ds="http://schemas.openxmlformats.org/officeDocument/2006/customXml" ds:itemID="{D1ED41B9-3173-4526-85C1-C11CF067A2D1}">
  <ds:schemaRefs>
    <ds:schemaRef ds:uri="http://schemas.microsoft.com/sharepoint/v3/contenttype/forms"/>
  </ds:schemaRefs>
</ds:datastoreItem>
</file>

<file path=customXml/itemProps2.xml><?xml version="1.0" encoding="utf-8"?>
<ds:datastoreItem xmlns:ds="http://schemas.openxmlformats.org/officeDocument/2006/customXml" ds:itemID="{5D7AEBBE-0285-4238-9808-23C49CCD4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40e62e-e3ac-4cb4-a60e-45db7d1f7333"/>
    <ds:schemaRef ds:uri="bf9a00bd-1abc-4088-a1d8-f3578de7f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8D21B4-7ECC-4ECD-B43E-A0C0F03056AE}">
  <ds:schemaRef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 ds:uri="bf9a00bd-1abc-4088-a1d8-f3578de7fe5d"/>
    <ds:schemaRef ds:uri="http://schemas.microsoft.com/office/2006/documentManagement/types"/>
    <ds:schemaRef ds:uri="a240e62e-e3ac-4cb4-a60e-45db7d1f733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Info</vt:lpstr>
      <vt:lpstr>Identification</vt:lpstr>
      <vt:lpstr>Analysis</vt:lpstr>
      <vt:lpstr>Hidden_Lists</vt:lpstr>
      <vt:lpstr>Hidden_Translations</vt:lpstr>
      <vt:lpstr>Hidden_Versions</vt:lpstr>
      <vt:lpstr>Analysis!Print_Area</vt:lpstr>
      <vt:lpstr>Identification!Print_Area</vt:lpstr>
      <vt:lpst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Beatrice MARCHI</cp:lastModifiedBy>
  <cp:revision/>
  <dcterms:created xsi:type="dcterms:W3CDTF">2020-04-02T10:24:41Z</dcterms:created>
  <dcterms:modified xsi:type="dcterms:W3CDTF">2025-04-05T09:19:21Z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0x010100E44BDC52846F764BAFF71E171827D26E</vt:lpwstr>
  </property>
  <property fmtid="{D5CDD505-2E9C-101B-9397-08002B2CF9AE}" pid="3" name="MediaServiceImageTags">
    <vt:lpwstr/>
  </property>
</Properties>
</file>